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lockStructure="1"/>
  <bookViews>
    <workbookView xWindow="120" yWindow="60" windowWidth="10800" windowHeight="10470" tabRatio="503"/>
  </bookViews>
  <sheets>
    <sheet name="Instructions" sheetId="4" r:id="rId1"/>
    <sheet name="Main" sheetId="1" r:id="rId2"/>
    <sheet name="ARC-2e V-I Curve" sheetId="7" state="hidden" r:id="rId3"/>
    <sheet name="Mod. ARC V-I Curve" sheetId="5" state="hidden" r:id="rId4"/>
    <sheet name="ARC-3 V-I Curve" sheetId="8" state="hidden" r:id="rId5"/>
    <sheet name="Exp. Panel ARC V-I Curve" sheetId="6" state="hidden" r:id="rId6"/>
    <sheet name="ARC-2 V-I Curve" sheetId="3" state="hidden" r:id="rId7"/>
    <sheet name="ARC V-I Curve" sheetId="2" state="hidden" r:id="rId8"/>
  </sheets>
  <definedNames>
    <definedName name="_1_ARC">Main!$A$19</definedName>
    <definedName name="_2_ARC">Main!$A$50</definedName>
    <definedName name="_3_ARC">Main!$A$81</definedName>
    <definedName name="_5_8_ARC">Main!$A$112</definedName>
    <definedName name="_dev_ARC">Main!$AR$15</definedName>
    <definedName name="_dev_ARC_2">Main!$AR$14</definedName>
    <definedName name="_dev_ARC_2e">Main!$AR$8</definedName>
    <definedName name="_dev_ARC_3">Main!$AR$7</definedName>
    <definedName name="_dev_K1">Main!$AR$10</definedName>
    <definedName name="_dev_Mic">Main!$AR$12</definedName>
    <definedName name="_dev_None">Main!$AR$6</definedName>
    <definedName name="_dev_SW4">Main!$AR$9</definedName>
    <definedName name="_dev_SWK">Main!$AR$13</definedName>
    <definedName name="_dev_XLR">Main!$AR$11</definedName>
    <definedName name="_Exp0">Main!$AY$6</definedName>
    <definedName name="_Exp0_3">Main!$AY$6:$AY$9</definedName>
    <definedName name="_Exp0_4">Main!$AY$6:$AY$10</definedName>
    <definedName name="_xlnm._FilterDatabase" localSheetId="1" hidden="1">Main!$BA$7:$BA$7</definedName>
    <definedName name="_pwr_2x_2m">Main!$AU$17</definedName>
    <definedName name="_pwr_ARC_PS">Main!$AU$14</definedName>
    <definedName name="_pwr_ARC_PSe">Main!$AU$6</definedName>
    <definedName name="_pwr_CIO">Main!$AU$16</definedName>
    <definedName name="_pwr_Custom">Main!$AU$18</definedName>
    <definedName name="_pwr_Edge">Main!$AU$7</definedName>
    <definedName name="_pwr_Express">Main!$AU$15</definedName>
    <definedName name="_pwr_IS">Main!$AU$13</definedName>
    <definedName name="_pwr_Jupiter">Main!$AU$11</definedName>
    <definedName name="_pwr_Prism0_4">Main!$AU$9</definedName>
    <definedName name="_pwr_Prism8_12">Main!$AU$8</definedName>
    <definedName name="_pwr_PS_6">Main!$AU$12</definedName>
    <definedName name="_pwr_Select">Main!$AU$19</definedName>
    <definedName name="_pwr_Solus_NX">Main!$AU$10</definedName>
    <definedName name="_pwr_table">Main!$AU$6:$AX$19</definedName>
    <definedName name="ARC_2e_min_v">Main!$C$15</definedName>
    <definedName name="ARC_3_min_v">Main!$C$16</definedName>
    <definedName name="ARC_audio">Main!$B$6</definedName>
    <definedName name="ARC_min_V">Main!$C$12</definedName>
    <definedName name="cable_comp">Main!$C$17</definedName>
    <definedName name="Defaults">Main!$A$5</definedName>
    <definedName name="Feet_Meters_Conversion">Main!$A$151</definedName>
    <definedName name="max_current">Main!$C$14</definedName>
    <definedName name="max_mod_arcs">Main!$F$12</definedName>
    <definedName name="new_ARC_min_V">Main!$C$13</definedName>
    <definedName name="powering_device">Main!$B$3</definedName>
    <definedName name="resist_24">Main!$C$8</definedName>
    <definedName name="resist_26">Main!$C$9</definedName>
    <definedName name="resist_28">Main!$C$10</definedName>
    <definedName name="Solutions">Instructions!$A$18</definedName>
    <definedName name="voltage_in">Main!$C$7</definedName>
  </definedNames>
  <calcPr calcId="145621" iterate="1" iterateCount="1000"/>
</workbook>
</file>

<file path=xl/calcChain.xml><?xml version="1.0" encoding="utf-8"?>
<calcChain xmlns="http://schemas.openxmlformats.org/spreadsheetml/2006/main">
  <c r="B44" i="1" l="1"/>
  <c r="F12" i="1"/>
  <c r="C7" i="1"/>
  <c r="C14" i="1"/>
  <c r="C42" i="7" l="1"/>
  <c r="C42" i="6"/>
  <c r="C42" i="8"/>
  <c r="G3" i="1" l="1"/>
  <c r="B140" i="1" l="1"/>
  <c r="AE130" i="1"/>
  <c r="AE132" i="1" s="1"/>
  <c r="AB130" i="1"/>
  <c r="AB132" i="1" s="1"/>
  <c r="AE124" i="1"/>
  <c r="AB124" i="1"/>
  <c r="AD119" i="1"/>
  <c r="AD120" i="1" s="1"/>
  <c r="AA119" i="1"/>
  <c r="AA120" i="1" s="1"/>
  <c r="AB133" i="1" l="1"/>
  <c r="AE133" i="1"/>
  <c r="Q3" i="8" l="1"/>
  <c r="R3" i="8" s="1"/>
  <c r="Q5" i="8"/>
  <c r="Q4" i="8"/>
  <c r="R5" i="8"/>
  <c r="Q6" i="8"/>
  <c r="R6" i="8" s="1"/>
  <c r="Q7" i="8"/>
  <c r="R7" i="8"/>
  <c r="Q8" i="8"/>
  <c r="R8" i="8" s="1"/>
  <c r="Q9" i="8"/>
  <c r="R9" i="8"/>
  <c r="Q10" i="8"/>
  <c r="R10" i="8" s="1"/>
  <c r="Q11" i="8"/>
  <c r="R11" i="8"/>
  <c r="Q12" i="8"/>
  <c r="R12" i="8" s="1"/>
  <c r="Q13" i="8"/>
  <c r="R13" i="8"/>
  <c r="Q14" i="8"/>
  <c r="R14" i="8" s="1"/>
  <c r="Q15" i="8"/>
  <c r="R15" i="8"/>
  <c r="Q16" i="8"/>
  <c r="R16" i="8" s="1"/>
  <c r="Q17" i="8"/>
  <c r="R17" i="8"/>
  <c r="Q18" i="8"/>
  <c r="R18" i="8" s="1"/>
  <c r="Q19" i="8"/>
  <c r="R19" i="8"/>
  <c r="Q20" i="8"/>
  <c r="R20" i="8" s="1"/>
  <c r="Q21" i="8"/>
  <c r="R21" i="8"/>
  <c r="Q22" i="8"/>
  <c r="R22" i="8" s="1"/>
  <c r="Q23" i="8"/>
  <c r="R23" i="8"/>
  <c r="Q24" i="8"/>
  <c r="R24" i="8" s="1"/>
  <c r="Q25" i="8"/>
  <c r="R25" i="8"/>
  <c r="Q26" i="8"/>
  <c r="R26" i="8" s="1"/>
  <c r="Q27" i="8"/>
  <c r="R27" i="8"/>
  <c r="Q28" i="8"/>
  <c r="R28" i="8" s="1"/>
  <c r="Q29" i="8"/>
  <c r="R29" i="8"/>
  <c r="Q30" i="8"/>
  <c r="R30" i="8" s="1"/>
  <c r="Q31" i="8"/>
  <c r="R31" i="8"/>
  <c r="Q32" i="8"/>
  <c r="R32" i="8" s="1"/>
  <c r="Q33" i="8"/>
  <c r="R33" i="8"/>
  <c r="Q34" i="8"/>
  <c r="R34" i="8" s="1"/>
  <c r="R4" i="8"/>
  <c r="P3" i="8"/>
  <c r="N3" i="8"/>
  <c r="P4" i="8"/>
  <c r="N4" i="8"/>
  <c r="P5" i="8"/>
  <c r="N5" i="8"/>
  <c r="P7" i="8"/>
  <c r="P8" i="8"/>
  <c r="P6" i="8"/>
  <c r="N7" i="8"/>
  <c r="N8" i="8"/>
  <c r="N6" i="8"/>
  <c r="N62" i="8"/>
  <c r="N61" i="8"/>
  <c r="N60" i="8"/>
  <c r="N56" i="8"/>
  <c r="N55" i="8"/>
  <c r="N54" i="8"/>
  <c r="N49" i="8"/>
  <c r="N50" i="8"/>
  <c r="N48" i="8"/>
  <c r="Y124" i="1"/>
  <c r="V124" i="1"/>
  <c r="S124" i="1"/>
  <c r="P124" i="1"/>
  <c r="M124" i="1"/>
  <c r="J124" i="1"/>
  <c r="G124" i="1"/>
  <c r="D124" i="1"/>
  <c r="J93" i="1"/>
  <c r="G93" i="1"/>
  <c r="D93" i="1"/>
  <c r="G62" i="1"/>
  <c r="D62" i="1"/>
  <c r="D31" i="1"/>
  <c r="Y130" i="1"/>
  <c r="Y132" i="1" s="1"/>
  <c r="Y133" i="1" s="1"/>
  <c r="V130" i="1"/>
  <c r="V132" i="1" s="1"/>
  <c r="V133" i="1" s="1"/>
  <c r="S130" i="1"/>
  <c r="S132" i="1" s="1"/>
  <c r="P130" i="1"/>
  <c r="P132" i="1" s="1"/>
  <c r="M130" i="1"/>
  <c r="J130" i="1"/>
  <c r="G130" i="1"/>
  <c r="G132" i="1" s="1"/>
  <c r="D130" i="1"/>
  <c r="J99" i="1"/>
  <c r="J100" i="1" s="1"/>
  <c r="J101" i="1" s="1"/>
  <c r="G99" i="1"/>
  <c r="G100" i="1" s="1"/>
  <c r="G101" i="1" s="1"/>
  <c r="D99" i="1"/>
  <c r="D100" i="1" s="1"/>
  <c r="G68" i="1"/>
  <c r="G69" i="1" s="1"/>
  <c r="D68" i="1"/>
  <c r="D69" i="1" s="1"/>
  <c r="D70" i="1" s="1"/>
  <c r="P9" i="8"/>
  <c r="P10" i="8"/>
  <c r="P11" i="8"/>
  <c r="P12" i="8"/>
  <c r="P13" i="8"/>
  <c r="P14" i="8"/>
  <c r="P15" i="8"/>
  <c r="P16" i="8"/>
  <c r="P17" i="8"/>
  <c r="P18" i="8"/>
  <c r="P19" i="8"/>
  <c r="P20" i="8"/>
  <c r="P21" i="8"/>
  <c r="P22" i="8"/>
  <c r="P23" i="8"/>
  <c r="P24" i="8"/>
  <c r="P26" i="8"/>
  <c r="P27" i="8"/>
  <c r="P28" i="8"/>
  <c r="P29" i="8"/>
  <c r="P30" i="8"/>
  <c r="P31" i="8"/>
  <c r="P32" i="8"/>
  <c r="P33" i="8"/>
  <c r="P34" i="8"/>
  <c r="P25" i="8"/>
  <c r="N34" i="8"/>
  <c r="N33" i="8"/>
  <c r="N32" i="8"/>
  <c r="N31" i="8"/>
  <c r="N30" i="8"/>
  <c r="N29" i="8"/>
  <c r="N28" i="8"/>
  <c r="N27" i="8"/>
  <c r="N26" i="8"/>
  <c r="N25" i="8"/>
  <c r="N24" i="8"/>
  <c r="N23" i="8"/>
  <c r="N22" i="8"/>
  <c r="N21" i="8"/>
  <c r="N20" i="8"/>
  <c r="N19" i="8"/>
  <c r="N18" i="8"/>
  <c r="N17" i="8"/>
  <c r="N16" i="8"/>
  <c r="N15" i="8"/>
  <c r="N14" i="8"/>
  <c r="N13" i="8"/>
  <c r="N12" i="8"/>
  <c r="N11" i="8"/>
  <c r="N10" i="8"/>
  <c r="N9" i="8"/>
  <c r="S9" i="8"/>
  <c r="S10" i="8"/>
  <c r="S11" i="8"/>
  <c r="S12" i="8"/>
  <c r="S13" i="8"/>
  <c r="S14" i="8"/>
  <c r="S15" i="8"/>
  <c r="S16" i="8"/>
  <c r="S17" i="8"/>
  <c r="S18" i="8"/>
  <c r="S19" i="8"/>
  <c r="S20" i="8"/>
  <c r="S21" i="8"/>
  <c r="S22" i="8"/>
  <c r="S23" i="8"/>
  <c r="S24" i="8"/>
  <c r="S25" i="8"/>
  <c r="S26" i="8"/>
  <c r="S27" i="8"/>
  <c r="S28" i="8"/>
  <c r="S29" i="8"/>
  <c r="S30" i="8"/>
  <c r="S31" i="8"/>
  <c r="S32" i="8"/>
  <c r="S33" i="8"/>
  <c r="S34" i="8"/>
  <c r="S35" i="8"/>
  <c r="S36" i="8"/>
  <c r="S37" i="8"/>
  <c r="D37" i="1"/>
  <c r="D38" i="1" s="1"/>
  <c r="D39" i="1" s="1"/>
  <c r="W23" i="5"/>
  <c r="W5" i="5"/>
  <c r="W6" i="5"/>
  <c r="W7" i="5"/>
  <c r="W8" i="5"/>
  <c r="W9" i="5"/>
  <c r="W10" i="5"/>
  <c r="W11" i="5"/>
  <c r="W12" i="5"/>
  <c r="W13" i="5"/>
  <c r="W14" i="5"/>
  <c r="W15" i="5"/>
  <c r="W16" i="5"/>
  <c r="W17" i="5"/>
  <c r="W18" i="5"/>
  <c r="W19" i="5"/>
  <c r="W20" i="5"/>
  <c r="W21" i="5"/>
  <c r="W22" i="5"/>
  <c r="W24" i="5"/>
  <c r="W25" i="5"/>
  <c r="W26" i="5"/>
  <c r="W27" i="5"/>
  <c r="W28" i="5"/>
  <c r="W29" i="5"/>
  <c r="W30" i="5"/>
  <c r="W31" i="5"/>
  <c r="W4" i="5"/>
  <c r="V31" i="5"/>
  <c r="U31" i="5"/>
  <c r="V30" i="5"/>
  <c r="U30" i="5"/>
  <c r="V29" i="5"/>
  <c r="U29" i="5"/>
  <c r="V28" i="5"/>
  <c r="U28" i="5"/>
  <c r="V27" i="5"/>
  <c r="U27" i="5"/>
  <c r="V26" i="5"/>
  <c r="U26" i="5"/>
  <c r="V25" i="5"/>
  <c r="U25" i="5"/>
  <c r="V24" i="5"/>
  <c r="U24" i="5"/>
  <c r="V23" i="5"/>
  <c r="U23" i="5"/>
  <c r="V22" i="5"/>
  <c r="U22" i="5"/>
  <c r="V21" i="5"/>
  <c r="U21" i="5"/>
  <c r="V20" i="5"/>
  <c r="U20" i="5"/>
  <c r="V19" i="5"/>
  <c r="U19" i="5"/>
  <c r="V18" i="5"/>
  <c r="U18" i="5"/>
  <c r="V17" i="5"/>
  <c r="U17" i="5"/>
  <c r="V16" i="5"/>
  <c r="U16" i="5"/>
  <c r="V15" i="5"/>
  <c r="U15" i="5"/>
  <c r="V14" i="5"/>
  <c r="U14" i="5"/>
  <c r="V13" i="5"/>
  <c r="U13" i="5"/>
  <c r="V12" i="5"/>
  <c r="U12" i="5"/>
  <c r="V11" i="5"/>
  <c r="U11" i="5"/>
  <c r="V10" i="5"/>
  <c r="U10" i="5"/>
  <c r="V9" i="5"/>
  <c r="U9" i="5"/>
  <c r="V8" i="5"/>
  <c r="U8" i="5"/>
  <c r="V7" i="5"/>
  <c r="U7" i="5"/>
  <c r="V6" i="5"/>
  <c r="U6" i="5"/>
  <c r="V5" i="5"/>
  <c r="U5" i="5"/>
  <c r="V4" i="5"/>
  <c r="U4" i="5"/>
  <c r="C26" i="1"/>
  <c r="C27" i="1" s="1"/>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 i="7"/>
  <c r="N4" i="7"/>
  <c r="AA4" i="7" s="1"/>
  <c r="N5" i="7"/>
  <c r="N6" i="7"/>
  <c r="AA6" i="7" s="1"/>
  <c r="N7" i="7"/>
  <c r="N8" i="7"/>
  <c r="AA8" i="7" s="1"/>
  <c r="N9" i="7"/>
  <c r="N10" i="7"/>
  <c r="AA10" i="7" s="1"/>
  <c r="N11" i="7"/>
  <c r="N12" i="7"/>
  <c r="AA12" i="7" s="1"/>
  <c r="N13" i="7"/>
  <c r="N14" i="7"/>
  <c r="AA14" i="7" s="1"/>
  <c r="N15" i="7"/>
  <c r="N16" i="7"/>
  <c r="AA16" i="7" s="1"/>
  <c r="N17" i="7"/>
  <c r="N18" i="7"/>
  <c r="AA18" i="7" s="1"/>
  <c r="N19" i="7"/>
  <c r="N20" i="7"/>
  <c r="AA20" i="7" s="1"/>
  <c r="AA23" i="7"/>
  <c r="AA27" i="7"/>
  <c r="AA31" i="7"/>
  <c r="N3" i="7"/>
  <c r="AA3" i="7" s="1"/>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AA19" i="7" s="1"/>
  <c r="Z18" i="7"/>
  <c r="Y18" i="7"/>
  <c r="Z17" i="7"/>
  <c r="Y17" i="7"/>
  <c r="AA17" i="7" s="1"/>
  <c r="Z16" i="7"/>
  <c r="Y16" i="7"/>
  <c r="Z15" i="7"/>
  <c r="Y15" i="7"/>
  <c r="AA15" i="7" s="1"/>
  <c r="Z14" i="7"/>
  <c r="Y14" i="7"/>
  <c r="Z13" i="7"/>
  <c r="Y13" i="7"/>
  <c r="AA13" i="7" s="1"/>
  <c r="Z12" i="7"/>
  <c r="Y12" i="7"/>
  <c r="Z11" i="7"/>
  <c r="Y11" i="7"/>
  <c r="AA11" i="7" s="1"/>
  <c r="Z10" i="7"/>
  <c r="Y10" i="7"/>
  <c r="Z9" i="7"/>
  <c r="Y9" i="7"/>
  <c r="AA9" i="7" s="1"/>
  <c r="Z8" i="7"/>
  <c r="Y8" i="7"/>
  <c r="Z7" i="7"/>
  <c r="Y7" i="7"/>
  <c r="AA7" i="7" s="1"/>
  <c r="Z6" i="7"/>
  <c r="Y6" i="7"/>
  <c r="Z5" i="7"/>
  <c r="Y5" i="7"/>
  <c r="AA5" i="7" s="1"/>
  <c r="Z4" i="7"/>
  <c r="Y4" i="7"/>
  <c r="Z3" i="7"/>
  <c r="Y3" i="7"/>
  <c r="C42" i="2"/>
  <c r="C43" i="5"/>
  <c r="C41" i="3"/>
  <c r="X119" i="1"/>
  <c r="X120" i="1" s="1"/>
  <c r="U119" i="1"/>
  <c r="U120" i="1" s="1"/>
  <c r="R119" i="1"/>
  <c r="R120" i="1" s="1"/>
  <c r="O119" i="1"/>
  <c r="O120" i="1" s="1"/>
  <c r="L119" i="1"/>
  <c r="L120" i="1" s="1"/>
  <c r="I119" i="1"/>
  <c r="I120" i="1" s="1"/>
  <c r="F119" i="1"/>
  <c r="F120" i="1" s="1"/>
  <c r="C119" i="1"/>
  <c r="C120" i="1" s="1"/>
  <c r="I88" i="1"/>
  <c r="I89" i="1" s="1"/>
  <c r="F88" i="1"/>
  <c r="F89" i="1" s="1"/>
  <c r="C88" i="1"/>
  <c r="C89" i="1" s="1"/>
  <c r="F57" i="1"/>
  <c r="F58" i="1" s="1"/>
  <c r="C57" i="1"/>
  <c r="C58" i="1" s="1"/>
  <c r="B106" i="1"/>
  <c r="B75" i="1"/>
  <c r="Q4" i="7"/>
  <c r="S4" i="7" s="1"/>
  <c r="T4" i="7" s="1"/>
  <c r="Q5" i="7"/>
  <c r="S5" i="7"/>
  <c r="T5" i="7" s="1"/>
  <c r="Q6" i="7"/>
  <c r="Q7" i="7"/>
  <c r="S7" i="7"/>
  <c r="T7" i="7" s="1"/>
  <c r="Q8" i="7"/>
  <c r="R8" i="7" s="1"/>
  <c r="Q9" i="7"/>
  <c r="S9" i="7"/>
  <c r="T9" i="7" s="1"/>
  <c r="Q10" i="7"/>
  <c r="Q11" i="7"/>
  <c r="S11" i="7"/>
  <c r="T11" i="7" s="1"/>
  <c r="Q12" i="7"/>
  <c r="S12" i="7" s="1"/>
  <c r="T12" i="7" s="1"/>
  <c r="Q13" i="7"/>
  <c r="S13" i="7"/>
  <c r="T13" i="7" s="1"/>
  <c r="Q14" i="7"/>
  <c r="S14" i="7" s="1"/>
  <c r="T14" i="7" s="1"/>
  <c r="Q15" i="7"/>
  <c r="S15" i="7"/>
  <c r="T15" i="7" s="1"/>
  <c r="Q16" i="7"/>
  <c r="S16" i="7" s="1"/>
  <c r="T16" i="7"/>
  <c r="Q17" i="7"/>
  <c r="S17" i="7"/>
  <c r="T17" i="7" s="1"/>
  <c r="Q18" i="7"/>
  <c r="Q19" i="7"/>
  <c r="S19" i="7"/>
  <c r="T19" i="7" s="1"/>
  <c r="Q20" i="7"/>
  <c r="S20" i="7" s="1"/>
  <c r="T20" i="7" s="1"/>
  <c r="N21" i="7"/>
  <c r="AA21" i="7" s="1"/>
  <c r="Q21" i="7"/>
  <c r="S21" i="7" s="1"/>
  <c r="T21" i="7"/>
  <c r="N22" i="7"/>
  <c r="AA22" i="7" s="1"/>
  <c r="Q22" i="7"/>
  <c r="S22" i="7" s="1"/>
  <c r="T22" i="7" s="1"/>
  <c r="N23" i="7"/>
  <c r="Q23" i="7"/>
  <c r="R23" i="7" s="1"/>
  <c r="N24" i="7"/>
  <c r="AA24" i="7" s="1"/>
  <c r="Q24" i="7"/>
  <c r="S24" i="7" s="1"/>
  <c r="T24" i="7" s="1"/>
  <c r="N25" i="7"/>
  <c r="AA25" i="7" s="1"/>
  <c r="Q25" i="7"/>
  <c r="R25" i="7" s="1"/>
  <c r="N26" i="7"/>
  <c r="AA26" i="7" s="1"/>
  <c r="Q26" i="7"/>
  <c r="S26" i="7" s="1"/>
  <c r="T26" i="7" s="1"/>
  <c r="N27" i="7"/>
  <c r="Q27" i="7"/>
  <c r="S27" i="7" s="1"/>
  <c r="T27" i="7"/>
  <c r="N28" i="7"/>
  <c r="AA28" i="7" s="1"/>
  <c r="Q28" i="7"/>
  <c r="S28" i="7" s="1"/>
  <c r="T28" i="7" s="1"/>
  <c r="N29" i="7"/>
  <c r="AA29" i="7" s="1"/>
  <c r="Q29" i="7"/>
  <c r="S29" i="7" s="1"/>
  <c r="T29" i="7"/>
  <c r="N30" i="7"/>
  <c r="AA30" i="7" s="1"/>
  <c r="Q30" i="7"/>
  <c r="S30" i="7" s="1"/>
  <c r="T30" i="7" s="1"/>
  <c r="N31" i="7"/>
  <c r="Q31" i="7"/>
  <c r="R31" i="7" s="1"/>
  <c r="N32" i="7"/>
  <c r="AA32" i="7" s="1"/>
  <c r="Q32" i="7"/>
  <c r="S32" i="7" s="1"/>
  <c r="T32" i="7" s="1"/>
  <c r="N33" i="7"/>
  <c r="AA33" i="7" s="1"/>
  <c r="Q33" i="7"/>
  <c r="R33" i="7" s="1"/>
  <c r="N34" i="7"/>
  <c r="AA34" i="7" s="1"/>
  <c r="Q34" i="7"/>
  <c r="S34" i="7" s="1"/>
  <c r="T34" i="7" s="1"/>
  <c r="Q3" i="7"/>
  <c r="S3" i="7"/>
  <c r="B114" i="1"/>
  <c r="B83" i="1"/>
  <c r="B52" i="1"/>
  <c r="B21" i="1"/>
  <c r="Q4" i="3"/>
  <c r="R4" i="3" s="1"/>
  <c r="Q5" i="3"/>
  <c r="S5" i="3" s="1"/>
  <c r="Q6" i="3"/>
  <c r="Q7" i="3"/>
  <c r="S7" i="3" s="1"/>
  <c r="Q8" i="3"/>
  <c r="R8" i="3"/>
  <c r="Q9" i="3"/>
  <c r="Q10" i="3"/>
  <c r="Q11" i="3"/>
  <c r="Q12" i="3"/>
  <c r="R12" i="3" s="1"/>
  <c r="Q13" i="3"/>
  <c r="S13" i="3" s="1"/>
  <c r="Q14" i="3"/>
  <c r="Q15" i="3"/>
  <c r="S15" i="3" s="1"/>
  <c r="Q16" i="3"/>
  <c r="R16" i="3"/>
  <c r="Q17" i="3"/>
  <c r="Q18" i="3"/>
  <c r="S18" i="3" s="1"/>
  <c r="Q19" i="3"/>
  <c r="Q20" i="3"/>
  <c r="R20" i="3" s="1"/>
  <c r="Q21" i="3"/>
  <c r="S21" i="3" s="1"/>
  <c r="Q22" i="3"/>
  <c r="Q23" i="3"/>
  <c r="S23" i="3" s="1"/>
  <c r="Q24" i="3"/>
  <c r="S24" i="3"/>
  <c r="Q25" i="3"/>
  <c r="R25" i="3"/>
  <c r="Q26" i="3"/>
  <c r="Q27" i="3"/>
  <c r="Q28" i="3"/>
  <c r="S28" i="3"/>
  <c r="Q29" i="3"/>
  <c r="Q30" i="3"/>
  <c r="Q3" i="3"/>
  <c r="V16" i="3"/>
  <c r="R3" i="7"/>
  <c r="R7" i="7"/>
  <c r="R9" i="7"/>
  <c r="R11" i="7"/>
  <c r="R12" i="7"/>
  <c r="R15" i="7"/>
  <c r="R16" i="7"/>
  <c r="R19" i="7"/>
  <c r="R20" i="7"/>
  <c r="R24" i="7"/>
  <c r="R28" i="7"/>
  <c r="R32" i="7"/>
  <c r="R5" i="7"/>
  <c r="R13" i="7"/>
  <c r="R14" i="7"/>
  <c r="R17" i="7"/>
  <c r="R22" i="7"/>
  <c r="R26" i="7"/>
  <c r="R30" i="7"/>
  <c r="R34" i="7"/>
  <c r="S6" i="3"/>
  <c r="S9" i="3"/>
  <c r="S11" i="3"/>
  <c r="S14" i="3"/>
  <c r="S17" i="3"/>
  <c r="S19" i="3"/>
  <c r="S22" i="3"/>
  <c r="S25" i="3"/>
  <c r="S26" i="3"/>
  <c r="S27" i="3"/>
  <c r="S29" i="3"/>
  <c r="S30" i="3"/>
  <c r="S3" i="3"/>
  <c r="U4" i="3"/>
  <c r="V4" i="3" s="1"/>
  <c r="U5" i="3"/>
  <c r="V5" i="3"/>
  <c r="U6" i="3"/>
  <c r="V6" i="3"/>
  <c r="U7" i="3"/>
  <c r="V7" i="3"/>
  <c r="U8" i="3"/>
  <c r="V8" i="3" s="1"/>
  <c r="U9" i="3"/>
  <c r="V9" i="3" s="1"/>
  <c r="U10" i="3"/>
  <c r="V10" i="3" s="1"/>
  <c r="U11" i="3"/>
  <c r="V11" i="3" s="1"/>
  <c r="U12" i="3"/>
  <c r="V12" i="3" s="1"/>
  <c r="U13" i="3"/>
  <c r="V13" i="3"/>
  <c r="U14" i="3"/>
  <c r="V14" i="3"/>
  <c r="U15" i="3"/>
  <c r="V15" i="3"/>
  <c r="U16" i="3"/>
  <c r="U17" i="3"/>
  <c r="V17" i="3" s="1"/>
  <c r="U18" i="3"/>
  <c r="V18" i="3" s="1"/>
  <c r="U19" i="3"/>
  <c r="V19" i="3" s="1"/>
  <c r="U20" i="3"/>
  <c r="V20" i="3" s="1"/>
  <c r="U21" i="3"/>
  <c r="V21" i="3"/>
  <c r="U22" i="3"/>
  <c r="V22" i="3"/>
  <c r="U23" i="3"/>
  <c r="V23" i="3"/>
  <c r="U24" i="3"/>
  <c r="V24" i="3" s="1"/>
  <c r="U25" i="3"/>
  <c r="V25" i="3" s="1"/>
  <c r="U26" i="3"/>
  <c r="V26" i="3" s="1"/>
  <c r="U27" i="3"/>
  <c r="V27" i="3" s="1"/>
  <c r="U28" i="3"/>
  <c r="V28" i="3" s="1"/>
  <c r="U29" i="3"/>
  <c r="V29" i="3"/>
  <c r="U30" i="3"/>
  <c r="V30" i="3"/>
  <c r="U3" i="3"/>
  <c r="V3" i="3"/>
  <c r="M45" i="3"/>
  <c r="P44" i="3"/>
  <c r="P43" i="3"/>
  <c r="Q4" i="2"/>
  <c r="Q5" i="2"/>
  <c r="Q6" i="2"/>
  <c r="Q7" i="2"/>
  <c r="Q8" i="2"/>
  <c r="Q9" i="2"/>
  <c r="Q10" i="2"/>
  <c r="Q11" i="2"/>
  <c r="Q12" i="2"/>
  <c r="Q13" i="2"/>
  <c r="Q14" i="2"/>
  <c r="Q15" i="2"/>
  <c r="Q16" i="2"/>
  <c r="Q17" i="2"/>
  <c r="Q18" i="2"/>
  <c r="Q19" i="2"/>
  <c r="Q20" i="2"/>
  <c r="Q21" i="2"/>
  <c r="Q22" i="2"/>
  <c r="Q23" i="2"/>
  <c r="Q24" i="2"/>
  <c r="Q25" i="2"/>
  <c r="Q26" i="2"/>
  <c r="Q3" i="2"/>
  <c r="R4" i="2"/>
  <c r="R5" i="2"/>
  <c r="R6" i="2"/>
  <c r="R7" i="2"/>
  <c r="R8" i="2"/>
  <c r="R9" i="2"/>
  <c r="R10" i="2"/>
  <c r="R11" i="2"/>
  <c r="R12" i="2"/>
  <c r="R13" i="2"/>
  <c r="R14" i="2"/>
  <c r="R15" i="2"/>
  <c r="R16" i="2"/>
  <c r="R17" i="2"/>
  <c r="R18" i="2"/>
  <c r="R19" i="2"/>
  <c r="R20" i="2"/>
  <c r="R21" i="2"/>
  <c r="R22" i="2"/>
  <c r="R23" i="2"/>
  <c r="R24" i="2"/>
  <c r="R25" i="2"/>
  <c r="R26" i="2"/>
  <c r="R3" i="2"/>
  <c r="N4" i="2"/>
  <c r="O4" i="2"/>
  <c r="N5" i="2"/>
  <c r="O5" i="2" s="1"/>
  <c r="N6" i="2"/>
  <c r="O6" i="2"/>
  <c r="N7" i="2"/>
  <c r="O7" i="2" s="1"/>
  <c r="N8" i="2"/>
  <c r="O8" i="2" s="1"/>
  <c r="N9" i="2"/>
  <c r="O9" i="2" s="1"/>
  <c r="N10" i="2"/>
  <c r="O10" i="2"/>
  <c r="N11" i="2"/>
  <c r="O11" i="2" s="1"/>
  <c r="N12" i="2"/>
  <c r="O12" i="2" s="1"/>
  <c r="N13" i="2"/>
  <c r="O13" i="2" s="1"/>
  <c r="N14" i="2"/>
  <c r="O14" i="2"/>
  <c r="N15" i="2"/>
  <c r="O15" i="2" s="1"/>
  <c r="N16" i="2"/>
  <c r="O16" i="2" s="1"/>
  <c r="N17" i="2"/>
  <c r="O17" i="2" s="1"/>
  <c r="N18" i="2"/>
  <c r="O18" i="2"/>
  <c r="N19" i="2"/>
  <c r="O19" i="2" s="1"/>
  <c r="N20" i="2"/>
  <c r="O20" i="2" s="1"/>
  <c r="N21" i="2"/>
  <c r="O21" i="2" s="1"/>
  <c r="N22" i="2"/>
  <c r="O22" i="2"/>
  <c r="N23" i="2"/>
  <c r="O23" i="2" s="1"/>
  <c r="N24" i="2"/>
  <c r="O24" i="2" s="1"/>
  <c r="N25" i="2"/>
  <c r="O25" i="2" s="1"/>
  <c r="N26" i="2"/>
  <c r="O26" i="2"/>
  <c r="N3" i="2"/>
  <c r="O3" i="2" s="1"/>
  <c r="P4" i="2"/>
  <c r="P5" i="2"/>
  <c r="P6" i="2"/>
  <c r="P7" i="2"/>
  <c r="P8" i="2"/>
  <c r="P9" i="2"/>
  <c r="P10" i="2"/>
  <c r="P11" i="2"/>
  <c r="P12" i="2"/>
  <c r="P13" i="2"/>
  <c r="P14" i="2"/>
  <c r="P15" i="2"/>
  <c r="P16" i="2"/>
  <c r="P17" i="2"/>
  <c r="P18" i="2"/>
  <c r="P19" i="2"/>
  <c r="P20" i="2"/>
  <c r="P21" i="2"/>
  <c r="P22" i="2"/>
  <c r="P23" i="2"/>
  <c r="P24" i="2"/>
  <c r="P25" i="2"/>
  <c r="P26" i="2"/>
  <c r="P3" i="2"/>
  <c r="R23" i="3"/>
  <c r="P23" i="3"/>
  <c r="N23" i="3"/>
  <c r="O23" i="3" s="1"/>
  <c r="R3" i="3"/>
  <c r="P3" i="3"/>
  <c r="N3" i="3"/>
  <c r="O3" i="3" s="1"/>
  <c r="P28" i="3"/>
  <c r="N28" i="3"/>
  <c r="O28" i="3"/>
  <c r="R29" i="3"/>
  <c r="P29" i="3"/>
  <c r="N29" i="3"/>
  <c r="O29" i="3"/>
  <c r="R5" i="3"/>
  <c r="R6" i="3"/>
  <c r="R7" i="3"/>
  <c r="R9" i="3"/>
  <c r="R11" i="3"/>
  <c r="R13" i="3"/>
  <c r="R14" i="3"/>
  <c r="R15" i="3"/>
  <c r="R17" i="3"/>
  <c r="R18" i="3"/>
  <c r="R19" i="3"/>
  <c r="R21" i="3"/>
  <c r="R22" i="3"/>
  <c r="R26" i="3"/>
  <c r="R27" i="3"/>
  <c r="R30" i="3"/>
  <c r="N5" i="3"/>
  <c r="O5" i="3"/>
  <c r="N6" i="3"/>
  <c r="O6" i="3" s="1"/>
  <c r="N7" i="3"/>
  <c r="O7" i="3" s="1"/>
  <c r="N8" i="3"/>
  <c r="O8" i="3" s="1"/>
  <c r="N9" i="3"/>
  <c r="O9" i="3"/>
  <c r="N10" i="3"/>
  <c r="O10" i="3" s="1"/>
  <c r="N11" i="3"/>
  <c r="O11" i="3" s="1"/>
  <c r="N12" i="3"/>
  <c r="O12" i="3" s="1"/>
  <c r="N13" i="3"/>
  <c r="O13" i="3"/>
  <c r="N14" i="3"/>
  <c r="O14" i="3" s="1"/>
  <c r="N15" i="3"/>
  <c r="O15" i="3" s="1"/>
  <c r="N16" i="3"/>
  <c r="O16" i="3" s="1"/>
  <c r="N17" i="3"/>
  <c r="O17" i="3"/>
  <c r="N18" i="3"/>
  <c r="O18" i="3" s="1"/>
  <c r="N19" i="3"/>
  <c r="O19" i="3" s="1"/>
  <c r="N20" i="3"/>
  <c r="O20" i="3" s="1"/>
  <c r="N21" i="3"/>
  <c r="O21" i="3"/>
  <c r="N22" i="3"/>
  <c r="O22" i="3" s="1"/>
  <c r="N24" i="3"/>
  <c r="O24" i="3" s="1"/>
  <c r="N25" i="3"/>
  <c r="O25" i="3" s="1"/>
  <c r="N26" i="3"/>
  <c r="O26" i="3"/>
  <c r="N27" i="3"/>
  <c r="O27" i="3" s="1"/>
  <c r="N30" i="3"/>
  <c r="O30" i="3" s="1"/>
  <c r="N4" i="3"/>
  <c r="O4" i="3" s="1"/>
  <c r="P5" i="3"/>
  <c r="P6" i="3"/>
  <c r="P7" i="3"/>
  <c r="P8" i="3"/>
  <c r="P9" i="3"/>
  <c r="P10" i="3"/>
  <c r="P11" i="3"/>
  <c r="P12" i="3"/>
  <c r="P13" i="3"/>
  <c r="P14" i="3"/>
  <c r="P15" i="3"/>
  <c r="P16" i="3"/>
  <c r="P17" i="3"/>
  <c r="P18" i="3"/>
  <c r="P19" i="3"/>
  <c r="P20" i="3"/>
  <c r="P21" i="3"/>
  <c r="P22" i="3"/>
  <c r="P24" i="3"/>
  <c r="P25" i="3"/>
  <c r="P26" i="3"/>
  <c r="P27" i="3"/>
  <c r="P30" i="3"/>
  <c r="P4" i="3"/>
  <c r="Q4" i="6"/>
  <c r="Q5" i="6"/>
  <c r="R5" i="6" s="1"/>
  <c r="Q6" i="6"/>
  <c r="Q7" i="6"/>
  <c r="Q8" i="6"/>
  <c r="R8" i="6" s="1"/>
  <c r="Q9" i="6"/>
  <c r="R9" i="6" s="1"/>
  <c r="Q10" i="6"/>
  <c r="R10" i="6" s="1"/>
  <c r="Q11" i="6"/>
  <c r="Q12" i="6"/>
  <c r="R12" i="6" s="1"/>
  <c r="Q13" i="6"/>
  <c r="R13" i="6"/>
  <c r="Q14" i="6"/>
  <c r="R14" i="6" s="1"/>
  <c r="Q3" i="6"/>
  <c r="R3" i="6" s="1"/>
  <c r="N14" i="6"/>
  <c r="O14" i="6"/>
  <c r="N13" i="6"/>
  <c r="O13" i="6"/>
  <c r="N12" i="6"/>
  <c r="O12" i="6"/>
  <c r="N11" i="6"/>
  <c r="O11" i="6" s="1"/>
  <c r="N10" i="6"/>
  <c r="O10" i="6" s="1"/>
  <c r="N9" i="6"/>
  <c r="O9" i="6"/>
  <c r="N8" i="6"/>
  <c r="N7" i="6"/>
  <c r="N6" i="6"/>
  <c r="O6" i="6"/>
  <c r="N5" i="6"/>
  <c r="O5" i="6" s="1"/>
  <c r="N4" i="6"/>
  <c r="O4" i="6" s="1"/>
  <c r="N3" i="6"/>
  <c r="P3" i="6"/>
  <c r="O3" i="6"/>
  <c r="R6" i="6"/>
  <c r="R7" i="6"/>
  <c r="R11" i="6"/>
  <c r="R4" i="6"/>
  <c r="O7" i="6"/>
  <c r="O8" i="6"/>
  <c r="P5" i="6"/>
  <c r="P6" i="6"/>
  <c r="P7" i="6"/>
  <c r="P8" i="6"/>
  <c r="P9" i="6"/>
  <c r="P10" i="6"/>
  <c r="P11" i="6"/>
  <c r="P12" i="6"/>
  <c r="P13" i="6"/>
  <c r="P14" i="6"/>
  <c r="P4" i="6"/>
  <c r="D153" i="1"/>
  <c r="D152" i="1"/>
  <c r="O5" i="5"/>
  <c r="O6" i="5"/>
  <c r="O7" i="5"/>
  <c r="P7" i="5"/>
  <c r="O8" i="5"/>
  <c r="P8" i="5" s="1"/>
  <c r="O9" i="5"/>
  <c r="P9" i="5"/>
  <c r="O10" i="5"/>
  <c r="O11" i="5"/>
  <c r="P11" i="5" s="1"/>
  <c r="O12" i="5"/>
  <c r="P12" i="5" s="1"/>
  <c r="O13" i="5"/>
  <c r="P13" i="5"/>
  <c r="O14" i="5"/>
  <c r="O15" i="5"/>
  <c r="P15" i="5" s="1"/>
  <c r="O16" i="5"/>
  <c r="O17" i="5"/>
  <c r="P17" i="5"/>
  <c r="O18" i="5"/>
  <c r="O19" i="5"/>
  <c r="P19" i="5" s="1"/>
  <c r="O20" i="5"/>
  <c r="P20" i="5"/>
  <c r="O21" i="5"/>
  <c r="P21" i="5" s="1"/>
  <c r="O22" i="5"/>
  <c r="P22" i="5" s="1"/>
  <c r="O23" i="5"/>
  <c r="P23" i="5"/>
  <c r="O24" i="5"/>
  <c r="O25" i="5"/>
  <c r="P25" i="5" s="1"/>
  <c r="O26" i="5"/>
  <c r="O27" i="5"/>
  <c r="P27" i="5"/>
  <c r="O28" i="5"/>
  <c r="P28" i="5"/>
  <c r="O29" i="5"/>
  <c r="P29" i="5"/>
  <c r="O30" i="5"/>
  <c r="O31" i="5"/>
  <c r="P31" i="5" s="1"/>
  <c r="O4" i="5"/>
  <c r="P4" i="5" s="1"/>
  <c r="P24" i="5"/>
  <c r="N24" i="5"/>
  <c r="N4" i="5"/>
  <c r="N29" i="5"/>
  <c r="P30" i="5"/>
  <c r="N30" i="5"/>
  <c r="P6" i="5"/>
  <c r="P10" i="5"/>
  <c r="P14" i="5"/>
  <c r="P16" i="5"/>
  <c r="P18" i="5"/>
  <c r="P26" i="5"/>
  <c r="P5" i="5"/>
  <c r="N6" i="5"/>
  <c r="N7" i="5"/>
  <c r="N8" i="5"/>
  <c r="N9" i="5"/>
  <c r="N10" i="5"/>
  <c r="N11" i="5"/>
  <c r="N12" i="5"/>
  <c r="N13" i="5"/>
  <c r="N14" i="5"/>
  <c r="N15" i="5"/>
  <c r="N16" i="5"/>
  <c r="N17" i="5"/>
  <c r="N18" i="5"/>
  <c r="N19" i="5"/>
  <c r="N20" i="5"/>
  <c r="N21" i="5"/>
  <c r="N22" i="5"/>
  <c r="N23" i="5"/>
  <c r="N25" i="5"/>
  <c r="N26" i="5"/>
  <c r="N27" i="5"/>
  <c r="N28" i="5"/>
  <c r="N31" i="5"/>
  <c r="N5" i="5"/>
  <c r="R24" i="3"/>
  <c r="R28" i="3"/>
  <c r="S20" i="3"/>
  <c r="S16" i="3"/>
  <c r="S12" i="3"/>
  <c r="S8" i="3"/>
  <c r="S4" i="3"/>
  <c r="G131" i="1" l="1"/>
  <c r="D131" i="1"/>
  <c r="J132" i="1"/>
  <c r="J133" i="1" s="1"/>
  <c r="V131" i="1"/>
  <c r="M131" i="1"/>
  <c r="J131" i="1"/>
  <c r="P131" i="1"/>
  <c r="S131" i="1"/>
  <c r="D3" i="1"/>
  <c r="AB131" i="1"/>
  <c r="Y131" i="1"/>
  <c r="AE131" i="1"/>
  <c r="D132" i="1"/>
  <c r="D133" i="1" s="1"/>
  <c r="M132" i="1"/>
  <c r="M133" i="1" s="1"/>
  <c r="B28" i="1"/>
  <c r="D101" i="1"/>
  <c r="G133" i="1"/>
  <c r="S133" i="1"/>
  <c r="G70" i="1"/>
  <c r="P133" i="1"/>
  <c r="R10" i="3"/>
  <c r="S10" i="3"/>
  <c r="S18" i="7"/>
  <c r="T18" i="7" s="1"/>
  <c r="R18" i="7"/>
  <c r="S6" i="7"/>
  <c r="T6" i="7" s="1"/>
  <c r="R6" i="7"/>
  <c r="S10" i="7"/>
  <c r="T10" i="7" s="1"/>
  <c r="R10" i="7"/>
  <c r="B121" i="1"/>
  <c r="B90" i="1"/>
  <c r="B59" i="1"/>
  <c r="R29" i="7"/>
  <c r="R21" i="7"/>
  <c r="R4" i="7"/>
  <c r="R27" i="7"/>
  <c r="T3" i="7"/>
  <c r="S33" i="7"/>
  <c r="T33" i="7" s="1"/>
  <c r="S31" i="7"/>
  <c r="T31" i="7" s="1"/>
  <c r="S25" i="7"/>
  <c r="T25" i="7" s="1"/>
  <c r="S23" i="7"/>
  <c r="T23" i="7" s="1"/>
  <c r="S8" i="7"/>
  <c r="T8" i="7" s="1"/>
  <c r="S137" i="1" l="1"/>
  <c r="S116" i="1" s="1"/>
  <c r="AE137" i="1"/>
  <c r="AE116" i="1" s="1"/>
  <c r="AB137" i="1"/>
  <c r="Y137" i="1"/>
  <c r="Y116" i="1" s="1"/>
  <c r="S138" i="1" l="1"/>
  <c r="AE138" i="1"/>
  <c r="Y138" i="1"/>
  <c r="AB138" i="1"/>
  <c r="AB116" i="1"/>
  <c r="V137" i="1"/>
  <c r="V116" i="1" l="1"/>
  <c r="V138" i="1"/>
  <c r="P137" i="1" l="1"/>
  <c r="P138" i="1" s="1"/>
  <c r="P116" i="1" l="1"/>
  <c r="D43" i="1"/>
  <c r="C48" i="1" s="1"/>
  <c r="D74" i="1"/>
  <c r="D54" i="1" s="1"/>
  <c r="G74" i="1"/>
  <c r="G54" i="1" s="1"/>
  <c r="C79" i="1"/>
  <c r="D105" i="1"/>
  <c r="D85" i="1" s="1"/>
  <c r="G105" i="1"/>
  <c r="G85" i="1" s="1"/>
  <c r="J105" i="1"/>
  <c r="J85" i="1" s="1"/>
  <c r="C110" i="1"/>
  <c r="J116" i="1"/>
  <c r="M116" i="1"/>
  <c r="D137" i="1"/>
  <c r="D116" i="1" s="1"/>
  <c r="G137" i="1"/>
  <c r="G138" i="1" s="1"/>
  <c r="J137" i="1"/>
  <c r="M137" i="1"/>
  <c r="J138" i="1"/>
  <c r="M138" i="1"/>
  <c r="G116" i="1" l="1"/>
  <c r="B139" i="1"/>
  <c r="D138" i="1"/>
  <c r="C144" i="1" s="1"/>
  <c r="D23" i="1"/>
  <c r="D28" i="1"/>
  <c r="D29" i="1"/>
  <c r="D30" i="1"/>
  <c r="D32" i="1"/>
  <c r="D33" i="1"/>
  <c r="D34" i="1"/>
  <c r="D35" i="1"/>
  <c r="D36" i="1"/>
  <c r="D40" i="1"/>
  <c r="D41" i="1"/>
  <c r="D42" i="1"/>
  <c r="B45" i="1"/>
  <c r="B46" i="1"/>
  <c r="B47" i="1"/>
  <c r="B48" i="1"/>
  <c r="D59" i="1"/>
  <c r="G59" i="1"/>
  <c r="D60" i="1"/>
  <c r="G60" i="1"/>
  <c r="D61" i="1"/>
  <c r="G61" i="1"/>
  <c r="D63" i="1"/>
  <c r="G63" i="1"/>
  <c r="D64" i="1"/>
  <c r="G64" i="1"/>
  <c r="D65" i="1"/>
  <c r="G65" i="1"/>
  <c r="D66" i="1"/>
  <c r="G66" i="1"/>
  <c r="D67" i="1"/>
  <c r="G67" i="1"/>
  <c r="D71" i="1"/>
  <c r="G71" i="1"/>
  <c r="D72" i="1"/>
  <c r="G72" i="1"/>
  <c r="D73" i="1"/>
  <c r="G73" i="1"/>
  <c r="B76" i="1"/>
  <c r="B77" i="1"/>
  <c r="B78" i="1"/>
  <c r="B79" i="1"/>
  <c r="D90" i="1"/>
  <c r="G90" i="1"/>
  <c r="J90" i="1"/>
  <c r="D91" i="1"/>
  <c r="G91" i="1"/>
  <c r="J91" i="1"/>
  <c r="D92" i="1"/>
  <c r="G92" i="1"/>
  <c r="J92" i="1"/>
  <c r="D94" i="1"/>
  <c r="G94" i="1"/>
  <c r="J94" i="1"/>
  <c r="D95" i="1"/>
  <c r="G95" i="1"/>
  <c r="J95" i="1"/>
  <c r="D96" i="1"/>
  <c r="G96" i="1"/>
  <c r="J96" i="1"/>
  <c r="D97" i="1"/>
  <c r="G97" i="1"/>
  <c r="J97" i="1"/>
  <c r="D98" i="1"/>
  <c r="G98" i="1"/>
  <c r="J98" i="1"/>
  <c r="D102" i="1"/>
  <c r="G102" i="1"/>
  <c r="J102" i="1"/>
  <c r="D103" i="1"/>
  <c r="G103" i="1"/>
  <c r="J103" i="1"/>
  <c r="D104" i="1"/>
  <c r="G104" i="1"/>
  <c r="J104" i="1"/>
  <c r="B107" i="1"/>
  <c r="B108" i="1"/>
  <c r="B109" i="1"/>
  <c r="B110" i="1"/>
  <c r="D121" i="1"/>
  <c r="G121" i="1"/>
  <c r="J121" i="1"/>
  <c r="M121" i="1"/>
  <c r="P121" i="1"/>
  <c r="S121" i="1"/>
  <c r="V121" i="1"/>
  <c r="Y121" i="1"/>
  <c r="AB121" i="1"/>
  <c r="AE121" i="1"/>
  <c r="D122" i="1"/>
  <c r="G122" i="1"/>
  <c r="J122" i="1"/>
  <c r="M122" i="1"/>
  <c r="P122" i="1"/>
  <c r="S122" i="1"/>
  <c r="V122" i="1"/>
  <c r="Y122" i="1"/>
  <c r="AB122" i="1"/>
  <c r="AE122" i="1"/>
  <c r="D123" i="1"/>
  <c r="G123" i="1"/>
  <c r="J123" i="1"/>
  <c r="M123" i="1"/>
  <c r="P123" i="1"/>
  <c r="S123" i="1"/>
  <c r="V123" i="1"/>
  <c r="Y123" i="1"/>
  <c r="AB123" i="1"/>
  <c r="AE123" i="1"/>
  <c r="D125" i="1"/>
  <c r="G125" i="1"/>
  <c r="J125" i="1"/>
  <c r="M125" i="1"/>
  <c r="P125" i="1"/>
  <c r="S125" i="1"/>
  <c r="V125" i="1"/>
  <c r="Y125" i="1"/>
  <c r="AB125" i="1"/>
  <c r="AE125" i="1"/>
  <c r="D126" i="1"/>
  <c r="G126" i="1"/>
  <c r="J126" i="1"/>
  <c r="M126" i="1"/>
  <c r="P126" i="1"/>
  <c r="S126" i="1"/>
  <c r="V126" i="1"/>
  <c r="Y126" i="1"/>
  <c r="AB126" i="1"/>
  <c r="AE126" i="1"/>
  <c r="D127" i="1"/>
  <c r="G127" i="1"/>
  <c r="J127" i="1"/>
  <c r="M127" i="1"/>
  <c r="P127" i="1"/>
  <c r="S127" i="1"/>
  <c r="V127" i="1"/>
  <c r="Y127" i="1"/>
  <c r="AB127" i="1"/>
  <c r="AE127" i="1"/>
  <c r="D128" i="1"/>
  <c r="G128" i="1"/>
  <c r="J128" i="1"/>
  <c r="M128" i="1"/>
  <c r="P128" i="1"/>
  <c r="S128" i="1"/>
  <c r="V128" i="1"/>
  <c r="Y128" i="1"/>
  <c r="AB128" i="1"/>
  <c r="AE128" i="1"/>
  <c r="D129" i="1"/>
  <c r="G129" i="1"/>
  <c r="J129" i="1"/>
  <c r="M129" i="1"/>
  <c r="P129" i="1"/>
  <c r="S129" i="1"/>
  <c r="V129" i="1"/>
  <c r="Y129" i="1"/>
  <c r="AB129" i="1"/>
  <c r="AE129" i="1"/>
  <c r="D134" i="1"/>
  <c r="G134" i="1"/>
  <c r="J134" i="1"/>
  <c r="M134" i="1"/>
  <c r="P134" i="1"/>
  <c r="S134" i="1"/>
  <c r="V134" i="1"/>
  <c r="Y134" i="1"/>
  <c r="AB134" i="1"/>
  <c r="AE134" i="1"/>
  <c r="D135" i="1"/>
  <c r="G135" i="1"/>
  <c r="J135" i="1"/>
  <c r="M135" i="1"/>
  <c r="P135" i="1"/>
  <c r="S135" i="1"/>
  <c r="V135" i="1"/>
  <c r="Y135" i="1"/>
  <c r="AB135" i="1"/>
  <c r="AE135" i="1"/>
  <c r="D136" i="1"/>
  <c r="G136" i="1"/>
  <c r="J136" i="1"/>
  <c r="M136" i="1"/>
  <c r="P136" i="1"/>
  <c r="S136" i="1"/>
  <c r="V136" i="1"/>
  <c r="Y136" i="1"/>
  <c r="AB136" i="1"/>
  <c r="AE136" i="1"/>
  <c r="B141" i="1"/>
  <c r="B142" i="1"/>
  <c r="B143" i="1"/>
  <c r="B144" i="1"/>
</calcChain>
</file>

<file path=xl/comments1.xml><?xml version="1.0" encoding="utf-8"?>
<comments xmlns="http://schemas.openxmlformats.org/spreadsheetml/2006/main">
  <authors>
    <author>Jon Harris</author>
  </authors>
  <commentList>
    <comment ref="A1" authorId="0">
      <text>
        <r>
          <rPr>
            <b/>
            <sz val="8"/>
            <color indexed="81"/>
            <rFont val="Tahoma"/>
            <family val="2"/>
          </rPr>
          <t xml:space="preserve">Click here to view the instructions page.
</t>
        </r>
        <r>
          <rPr>
            <sz val="8"/>
            <color indexed="81"/>
            <rFont val="Tahoma"/>
            <family val="2"/>
          </rPr>
          <t>If clicking the link doesn't work, click on the 'Instructions' tab in the lower left.</t>
        </r>
      </text>
    </comment>
    <comment ref="G3" authorId="0">
      <text>
        <r>
          <rPr>
            <sz val="9"/>
            <color indexed="81"/>
            <rFont val="Tahoma"/>
            <family val="2"/>
          </rPr>
          <t>Modular ARCs include ARC-K1e, ARC-SW4e, ARC-SWK, ARC-Mic, ARC-XLR</t>
        </r>
        <r>
          <rPr>
            <b/>
            <sz val="9"/>
            <color indexed="81"/>
            <rFont val="Tahoma"/>
            <family val="2"/>
          </rPr>
          <t xml:space="preserve">
</t>
        </r>
      </text>
    </comment>
    <comment ref="AY5" authorId="0">
      <text>
        <r>
          <rPr>
            <b/>
            <sz val="10"/>
            <color indexed="81"/>
            <rFont val="Tahoma"/>
            <family val="2"/>
          </rPr>
          <t>Jon Harris:</t>
        </r>
        <r>
          <rPr>
            <sz val="10"/>
            <color indexed="81"/>
            <rFont val="Tahoma"/>
            <family val="2"/>
          </rPr>
          <t xml:space="preserve">
There are several "Named Ranges" that encompass various amounts of this list: _Exp0, _Exp0_3, _Exp0_4.  Based on max possible expansion panels for a given ARC type, the appropriate Named Range is chosen.
See </t>
        </r>
        <r>
          <rPr>
            <b/>
            <sz val="10"/>
            <color indexed="81"/>
            <rFont val="Tahoma"/>
            <family val="2"/>
          </rPr>
          <t>Formulas-&gt;Name Manager</t>
        </r>
        <r>
          <rPr>
            <sz val="10"/>
            <color indexed="81"/>
            <rFont val="Tahoma"/>
            <family val="2"/>
          </rPr>
          <t xml:space="preserve"> to view/edit.</t>
        </r>
      </text>
    </comment>
    <comment ref="B6" authorId="0">
      <text>
        <r>
          <rPr>
            <sz val="8"/>
            <color indexed="81"/>
            <rFont val="Tahoma"/>
            <family val="2"/>
          </rPr>
          <t>If ARC-Audio is not in use, the ARC-Audio lines may be grounded. This provides a lower resistance ground path and hence allows slightly longer cable lengths.
The grounding may be done via jumpers on the unit that is powering the ARC (e.g. ARC-PS, Control I/O, or Express). Not grounded is the default shipping state for all units. For more information, see the documentation for the powering unit.
Note that grounding is NOT supported inside the ARC-PSe.</t>
        </r>
      </text>
    </comment>
    <comment ref="C8" authorId="0">
      <text>
        <r>
          <rPr>
            <sz val="8"/>
            <color indexed="81"/>
            <rFont val="Tahoma"/>
            <family val="2"/>
          </rPr>
          <t>Wire resistance in ohms per 1000 feet of a single conductor of the CAT-5 cable you are using.  The default values are appropriate for most common cable types, but you can override them if you have specific information on your cable, such as from the manufacturer's data sheet. There are separate entries for 24, 26, and 28 AWG cable.</t>
        </r>
      </text>
    </comment>
    <comment ref="A11" authorId="0">
      <text>
        <r>
          <rPr>
            <sz val="8"/>
            <color indexed="81"/>
            <rFont val="Tahoma"/>
            <family val="2"/>
          </rPr>
          <t>CAT-5 Cable gauge is often printed on the cable jacket. If not listed, check the cable manufacturer's specifications.</t>
        </r>
      </text>
    </comment>
    <comment ref="AS11" authorId="0">
      <text>
        <r>
          <rPr>
            <b/>
            <sz val="9"/>
            <color indexed="81"/>
            <rFont val="Tahoma"/>
            <family val="2"/>
          </rPr>
          <t>Jon Harris:</t>
        </r>
        <r>
          <rPr>
            <sz val="9"/>
            <color indexed="81"/>
            <rFont val="Tahoma"/>
            <family val="2"/>
          </rPr>
          <t xml:space="preserve">
Keep code 10/Empty in this location</t>
        </r>
      </text>
    </comment>
    <comment ref="C21" authorId="0">
      <text>
        <r>
          <rPr>
            <sz val="8"/>
            <color indexed="81"/>
            <rFont val="Tahoma"/>
            <family val="2"/>
          </rPr>
          <t>Select gauge and enter length in feet.</t>
        </r>
      </text>
    </comment>
    <comment ref="A38" authorId="0">
      <text>
        <r>
          <rPr>
            <b/>
            <sz val="10"/>
            <color indexed="81"/>
            <rFont val="Tahoma"/>
            <family val="2"/>
          </rPr>
          <t>Jon Harris:</t>
        </r>
        <r>
          <rPr>
            <sz val="10"/>
            <color indexed="81"/>
            <rFont val="Tahoma"/>
            <family val="2"/>
          </rPr>
          <t xml:space="preserve">
Based on ARC type</t>
        </r>
      </text>
    </comment>
    <comment ref="A39" authorId="0">
      <text>
        <r>
          <rPr>
            <b/>
            <sz val="10"/>
            <color indexed="81"/>
            <rFont val="Tahoma"/>
            <family val="2"/>
          </rPr>
          <t>Jon Harris:</t>
        </r>
        <r>
          <rPr>
            <sz val="10"/>
            <color indexed="81"/>
            <rFont val="Tahoma"/>
            <family val="2"/>
          </rPr>
          <t xml:space="preserve">
Ignores user setting if not Mod-ARC.  Or limits or adds one based on Mod-ARC type.</t>
        </r>
      </text>
    </comment>
    <comment ref="B45" authorId="0">
      <text>
        <r>
          <rPr>
            <sz val="8"/>
            <color indexed="81"/>
            <rFont val="Tahoma"/>
            <family val="2"/>
          </rPr>
          <t>Represents the total power that must be delivered by the power supply.</t>
        </r>
      </text>
    </comment>
    <comment ref="B46" authorId="0">
      <text>
        <r>
          <rPr>
            <sz val="8"/>
            <color indexed="81"/>
            <rFont val="Tahoma"/>
            <family val="2"/>
          </rPr>
          <t>Represents the actual power consumed by the ARC device(s).</t>
        </r>
      </text>
    </comment>
    <comment ref="B47" authorId="0">
      <text>
        <r>
          <rPr>
            <sz val="8"/>
            <color indexed="81"/>
            <rFont val="Tahoma"/>
            <family val="2"/>
          </rPr>
          <t>Represents the power consumed by the resistive losses of the cabling (due to the "IR" drops).</t>
        </r>
      </text>
    </comment>
    <comment ref="C52" authorId="0">
      <text>
        <r>
          <rPr>
            <sz val="8"/>
            <color indexed="81"/>
            <rFont val="Tahoma"/>
            <family val="2"/>
          </rPr>
          <t>Select gauge and enter length in feet.</t>
        </r>
      </text>
    </comment>
    <comment ref="A69" authorId="0">
      <text>
        <r>
          <rPr>
            <b/>
            <sz val="10"/>
            <color indexed="81"/>
            <rFont val="Tahoma"/>
            <family val="2"/>
          </rPr>
          <t>Jon Harris:</t>
        </r>
        <r>
          <rPr>
            <sz val="10"/>
            <color indexed="81"/>
            <rFont val="Tahoma"/>
            <family val="2"/>
          </rPr>
          <t xml:space="preserve">
Based on ARC type</t>
        </r>
      </text>
    </comment>
    <comment ref="A70" authorId="0">
      <text>
        <r>
          <rPr>
            <b/>
            <sz val="10"/>
            <color indexed="81"/>
            <rFont val="Tahoma"/>
            <family val="2"/>
          </rPr>
          <t>Jon Harris:</t>
        </r>
        <r>
          <rPr>
            <sz val="10"/>
            <color indexed="81"/>
            <rFont val="Tahoma"/>
            <family val="2"/>
          </rPr>
          <t xml:space="preserve">
Ignores user setting if not Mod-ARC, limits or adds one based on Mod-ARC type.</t>
        </r>
      </text>
    </comment>
    <comment ref="B76" authorId="0">
      <text>
        <r>
          <rPr>
            <sz val="8"/>
            <color indexed="81"/>
            <rFont val="Tahoma"/>
            <family val="2"/>
          </rPr>
          <t>Represents the total power that must be delivered by the power supply.</t>
        </r>
      </text>
    </comment>
    <comment ref="B77" authorId="0">
      <text>
        <r>
          <rPr>
            <sz val="8"/>
            <color indexed="81"/>
            <rFont val="Tahoma"/>
            <family val="2"/>
          </rPr>
          <t>Represents the actual power consumed by the ARC device(s).</t>
        </r>
      </text>
    </comment>
    <comment ref="B78" authorId="0">
      <text>
        <r>
          <rPr>
            <sz val="8"/>
            <color indexed="81"/>
            <rFont val="Tahoma"/>
            <family val="2"/>
          </rPr>
          <t>Represents the power consumed by the resistive losses of the cabling (due to the "IR" drops).</t>
        </r>
      </text>
    </comment>
    <comment ref="C83" authorId="0">
      <text>
        <r>
          <rPr>
            <sz val="8"/>
            <color indexed="81"/>
            <rFont val="Tahoma"/>
            <family val="2"/>
          </rPr>
          <t>Select gauge and enter length in feet.</t>
        </r>
      </text>
    </comment>
    <comment ref="A100" authorId="0">
      <text>
        <r>
          <rPr>
            <b/>
            <sz val="10"/>
            <color indexed="81"/>
            <rFont val="Tahoma"/>
            <family val="2"/>
          </rPr>
          <t>Jon Harris:</t>
        </r>
        <r>
          <rPr>
            <sz val="10"/>
            <color indexed="81"/>
            <rFont val="Tahoma"/>
            <family val="2"/>
          </rPr>
          <t xml:space="preserve">
Based on ARC type</t>
        </r>
      </text>
    </comment>
    <comment ref="A101" authorId="0">
      <text>
        <r>
          <rPr>
            <b/>
            <sz val="10"/>
            <color indexed="81"/>
            <rFont val="Tahoma"/>
            <family val="2"/>
          </rPr>
          <t>Jon Harris:</t>
        </r>
        <r>
          <rPr>
            <sz val="10"/>
            <color indexed="81"/>
            <rFont val="Tahoma"/>
            <family val="2"/>
          </rPr>
          <t xml:space="preserve">
Ignores user setting if not Mod-ARC, limits or adds one based on Mod-ARC type.</t>
        </r>
      </text>
    </comment>
    <comment ref="B107" authorId="0">
      <text>
        <r>
          <rPr>
            <sz val="8"/>
            <color indexed="81"/>
            <rFont val="Tahoma"/>
            <family val="2"/>
          </rPr>
          <t>Represents the total power that must be delivered by the power supply.</t>
        </r>
      </text>
    </comment>
    <comment ref="B108" authorId="0">
      <text>
        <r>
          <rPr>
            <sz val="8"/>
            <color indexed="81"/>
            <rFont val="Tahoma"/>
            <family val="2"/>
          </rPr>
          <t>Represents the actual power consumed by the ARC device(s).</t>
        </r>
      </text>
    </comment>
    <comment ref="B109" authorId="0">
      <text>
        <r>
          <rPr>
            <sz val="8"/>
            <color indexed="81"/>
            <rFont val="Tahoma"/>
            <family val="2"/>
          </rPr>
          <t>Represents the power consumed by the resistive losses of the cabling (due to the "IR" drops).</t>
        </r>
      </text>
    </comment>
    <comment ref="C114" authorId="0">
      <text>
        <r>
          <rPr>
            <sz val="8"/>
            <color indexed="81"/>
            <rFont val="Tahoma"/>
            <family val="2"/>
          </rPr>
          <t>Select gauge and enter length in feet.</t>
        </r>
      </text>
    </comment>
    <comment ref="A132" authorId="0">
      <text>
        <r>
          <rPr>
            <b/>
            <sz val="10"/>
            <color indexed="81"/>
            <rFont val="Tahoma"/>
            <family val="2"/>
          </rPr>
          <t>Jon Harris:</t>
        </r>
        <r>
          <rPr>
            <sz val="10"/>
            <color indexed="81"/>
            <rFont val="Tahoma"/>
            <family val="2"/>
          </rPr>
          <t xml:space="preserve">
Based on ARC type</t>
        </r>
      </text>
    </comment>
    <comment ref="A133" authorId="0">
      <text>
        <r>
          <rPr>
            <b/>
            <sz val="10"/>
            <color indexed="81"/>
            <rFont val="Tahoma"/>
            <family val="2"/>
          </rPr>
          <t>Jon Harris:</t>
        </r>
        <r>
          <rPr>
            <sz val="10"/>
            <color indexed="81"/>
            <rFont val="Tahoma"/>
            <family val="2"/>
          </rPr>
          <t xml:space="preserve">
Ignores user setting if not Mod-ARC, limits or adds one based on Mod-ARC type.</t>
        </r>
      </text>
    </comment>
    <comment ref="B141" authorId="0">
      <text>
        <r>
          <rPr>
            <sz val="8"/>
            <color indexed="81"/>
            <rFont val="Tahoma"/>
            <family val="2"/>
          </rPr>
          <t>Represents the total power that must be delivered by the power supply.</t>
        </r>
      </text>
    </comment>
    <comment ref="B142" authorId="0">
      <text>
        <r>
          <rPr>
            <sz val="8"/>
            <color indexed="81"/>
            <rFont val="Tahoma"/>
            <family val="2"/>
          </rPr>
          <t>Represents the actual power consumed by the ARC device(s).</t>
        </r>
      </text>
    </comment>
    <comment ref="B143" authorId="0">
      <text>
        <r>
          <rPr>
            <sz val="8"/>
            <color indexed="81"/>
            <rFont val="Tahoma"/>
            <family val="2"/>
          </rPr>
          <t>Represents the power consumed by the resistive losses of the cabling (due to the "IR" drops).</t>
        </r>
      </text>
    </comment>
  </commentList>
</comments>
</file>

<file path=xl/comments2.xml><?xml version="1.0" encoding="utf-8"?>
<comments xmlns="http://schemas.openxmlformats.org/spreadsheetml/2006/main">
  <authors>
    <author>Jon Harris</author>
  </authors>
  <commentList>
    <comment ref="W1" authorId="0">
      <text>
        <r>
          <rPr>
            <b/>
            <sz val="10"/>
            <color indexed="81"/>
            <rFont val="Tahoma"/>
            <family val="2"/>
          </rPr>
          <t>Jon Harris:</t>
        </r>
        <r>
          <rPr>
            <sz val="10"/>
            <color indexed="81"/>
            <rFont val="Tahoma"/>
            <family val="2"/>
          </rPr>
          <t xml:space="preserve">
After looking at 3 different ARC-2e units, I found their power consumption differed by at least 10%.  The one I had used was one of the better ones.  So I re-characterized it on 4/16/2013 using the worst one I could find.</t>
        </r>
      </text>
    </comment>
    <comment ref="T2" authorId="0">
      <text>
        <r>
          <rPr>
            <b/>
            <sz val="10"/>
            <color indexed="81"/>
            <rFont val="Tahoma"/>
            <family val="2"/>
          </rPr>
          <t>Jon Harris:</t>
        </r>
        <r>
          <rPr>
            <sz val="10"/>
            <color indexed="81"/>
            <rFont val="Tahoma"/>
            <family val="2"/>
          </rPr>
          <t xml:space="preserve">
The new ARC-2e uses this percentage of the original ARC-2's power.</t>
        </r>
      </text>
    </comment>
    <comment ref="AA2" authorId="0">
      <text>
        <r>
          <rPr>
            <b/>
            <sz val="10"/>
            <color indexed="81"/>
            <rFont val="Tahoma"/>
            <family val="2"/>
          </rPr>
          <t>Jon Harris:</t>
        </r>
        <r>
          <rPr>
            <sz val="10"/>
            <color indexed="81"/>
            <rFont val="Tahoma"/>
            <family val="2"/>
          </rPr>
          <t xml:space="preserve">
The re-characterized ARC-2e uses this percentage of the first-characterized ARC-2e's power.</t>
        </r>
      </text>
    </comment>
    <comment ref="N3" authorId="0">
      <text>
        <r>
          <rPr>
            <b/>
            <sz val="10"/>
            <color indexed="81"/>
            <rFont val="Tahoma"/>
            <family val="2"/>
          </rPr>
          <t>Jon Harris:</t>
        </r>
        <r>
          <rPr>
            <sz val="10"/>
            <color indexed="81"/>
            <rFont val="Tahoma"/>
            <family val="2"/>
          </rPr>
          <t xml:space="preserve">
The sudden decrease in power consumption at low input voltage is due to the +5V switching power supply going out of regulation.  It starts to lose it below about 6.5 V.
I measured:
5.56 V input, power supply output = 4.25 V
6 V input, power supply output = 4.64 V
6.5 V input, power supply output = 4.96 V.
The proccessor is still able to function at that these voltages, dieing around 5.55 V input.   I would think the LEDs would be slightly dimmer since the display driver since it is using the same +5V ralte, but I can't see any difference in brightness.</t>
        </r>
      </text>
    </comment>
    <comment ref="O3" authorId="0">
      <text>
        <r>
          <rPr>
            <b/>
            <sz val="10"/>
            <color indexed="81"/>
            <rFont val="Tahoma"/>
            <family val="2"/>
          </rPr>
          <t>Jon Harris:</t>
        </r>
        <r>
          <rPr>
            <sz val="10"/>
            <color indexed="81"/>
            <rFont val="Tahoma"/>
            <family val="2"/>
          </rPr>
          <t xml:space="preserve">
This was created by adding a 6th order polynomial trendline to the "Measured" series and displaying the equation on the graph.  Then, I changed the number formatting of the trendline to scientific with lots of precision and created a formula from that.  I then deleted the trendline.</t>
        </r>
      </text>
    </comment>
    <comment ref="M12" authorId="0">
      <text>
        <r>
          <rPr>
            <b/>
            <sz val="10"/>
            <color indexed="81"/>
            <rFont val="Tahoma"/>
            <family val="2"/>
          </rPr>
          <t>Jon Harris:</t>
        </r>
        <r>
          <rPr>
            <sz val="10"/>
            <color indexed="81"/>
            <rFont val="Tahoma"/>
            <family val="2"/>
          </rPr>
          <t xml:space="preserve">
Some measurements &lt;= 10V were pretty noisy.</t>
        </r>
      </text>
    </comment>
    <comment ref="X12" authorId="0">
      <text>
        <r>
          <rPr>
            <b/>
            <sz val="10"/>
            <color indexed="81"/>
            <rFont val="Tahoma"/>
            <family val="2"/>
          </rPr>
          <t>Jon Harris:</t>
        </r>
        <r>
          <rPr>
            <sz val="10"/>
            <color indexed="81"/>
            <rFont val="Tahoma"/>
            <family val="2"/>
          </rPr>
          <t xml:space="preserve">
Some measurements &lt;= 10V were pretty noisy.</t>
        </r>
      </text>
    </comment>
    <comment ref="L34" authorId="0">
      <text>
        <r>
          <rPr>
            <b/>
            <sz val="10"/>
            <color indexed="81"/>
            <rFont val="Tahoma"/>
            <family val="2"/>
          </rPr>
          <t>Jon Harris:</t>
        </r>
        <r>
          <rPr>
            <sz val="10"/>
            <color indexed="81"/>
            <rFont val="Tahoma"/>
            <family val="2"/>
          </rPr>
          <t xml:space="preserve">
Max output of GW GPC-3030 power supply.</t>
        </r>
      </text>
    </comment>
    <comment ref="W34" authorId="0">
      <text>
        <r>
          <rPr>
            <b/>
            <sz val="10"/>
            <color indexed="81"/>
            <rFont val="Tahoma"/>
            <family val="2"/>
          </rPr>
          <t>Jon Harris:</t>
        </r>
        <r>
          <rPr>
            <sz val="10"/>
            <color indexed="81"/>
            <rFont val="Tahoma"/>
            <family val="2"/>
          </rPr>
          <t xml:space="preserve">
Max output of GW GPC-3030 power supply.</t>
        </r>
      </text>
    </comment>
  </commentList>
</comments>
</file>

<file path=xl/comments3.xml><?xml version="1.0" encoding="utf-8"?>
<comments xmlns="http://schemas.openxmlformats.org/spreadsheetml/2006/main">
  <authors>
    <author>Jon Harris</author>
  </authors>
  <commentList>
    <comment ref="W3" authorId="0">
      <text>
        <r>
          <rPr>
            <b/>
            <sz val="10"/>
            <color indexed="81"/>
            <rFont val="Tahoma"/>
            <family val="2"/>
          </rPr>
          <t>Jon Harris:</t>
        </r>
        <r>
          <rPr>
            <sz val="10"/>
            <color indexed="81"/>
            <rFont val="Tahoma"/>
            <family val="2"/>
          </rPr>
          <t xml:space="preserve">
Versus on previous measurements with an ARC-XLR.  In other words, the old K1 I used required this percentage less current than the ARC-XLR.</t>
        </r>
      </text>
    </comment>
    <comment ref="L44" authorId="0">
      <text>
        <r>
          <rPr>
            <b/>
            <sz val="10"/>
            <color indexed="81"/>
            <rFont val="Tahoma"/>
            <family val="2"/>
          </rPr>
          <t>Jon Harris:</t>
        </r>
        <r>
          <rPr>
            <sz val="10"/>
            <color indexed="81"/>
            <rFont val="Tahoma"/>
            <family val="2"/>
          </rPr>
          <t xml:space="preserve">
</t>
        </r>
        <r>
          <rPr>
            <b/>
            <sz val="10"/>
            <color indexed="81"/>
            <rFont val="Tahoma"/>
            <family val="2"/>
          </rPr>
          <t>Test conditions:</t>
        </r>
        <r>
          <rPr>
            <sz val="10"/>
            <color indexed="81"/>
            <rFont val="Tahoma"/>
            <family val="2"/>
          </rPr>
          <t xml:space="preserve">
Connected and communicating via RS-485 to Edge unit, COM LED on solid.</t>
        </r>
      </text>
    </comment>
    <comment ref="M46" authorId="0">
      <text>
        <r>
          <rPr>
            <b/>
            <sz val="10"/>
            <color indexed="81"/>
            <rFont val="Tahoma"/>
            <family val="2"/>
          </rPr>
          <t>Jon Harris:</t>
        </r>
        <r>
          <rPr>
            <sz val="10"/>
            <color indexed="81"/>
            <rFont val="Tahoma"/>
            <family val="2"/>
          </rPr>
          <t xml:space="preserve">
measured were different ones and got 18.9, 19.6, 20.0, and 20.4 mA.  No idea why the spread was that large!</t>
        </r>
      </text>
    </comment>
    <comment ref="M48" authorId="0">
      <text>
        <r>
          <rPr>
            <b/>
            <sz val="10"/>
            <color indexed="81"/>
            <rFont val="Tahoma"/>
            <family val="2"/>
          </rPr>
          <t>Jon Harris:</t>
        </r>
        <r>
          <rPr>
            <sz val="10"/>
            <color indexed="81"/>
            <rFont val="Tahoma"/>
            <family val="2"/>
          </rPr>
          <t xml:space="preserve">
Spread was 18.5 - 18.8 mA</t>
        </r>
      </text>
    </comment>
  </commentList>
</comments>
</file>

<file path=xl/comments4.xml><?xml version="1.0" encoding="utf-8"?>
<comments xmlns="http://schemas.openxmlformats.org/spreadsheetml/2006/main">
  <authors>
    <author>Jon Harris</author>
  </authors>
  <commentList>
    <comment ref="L3" authorId="0">
      <text>
        <r>
          <rPr>
            <b/>
            <sz val="10"/>
            <color indexed="81"/>
            <rFont val="Tahoma"/>
            <family val="2"/>
          </rPr>
          <t>Jon Harris:</t>
        </r>
        <r>
          <rPr>
            <sz val="10"/>
            <color indexed="81"/>
            <rFont val="Tahoma"/>
            <family val="2"/>
          </rPr>
          <t xml:space="preserve">
The LEDs begin to modulate/dim at this point, so 6V is probably the minimum we should allow.</t>
        </r>
      </text>
    </comment>
    <comment ref="L34" authorId="0">
      <text>
        <r>
          <rPr>
            <b/>
            <sz val="10"/>
            <color indexed="81"/>
            <rFont val="Tahoma"/>
            <family val="2"/>
          </rPr>
          <t>Jon Harris:</t>
        </r>
        <r>
          <rPr>
            <sz val="10"/>
            <color indexed="81"/>
            <rFont val="Tahoma"/>
            <family val="2"/>
          </rPr>
          <t xml:space="preserve">
Max output of GW GPC-3030 power supply.</t>
        </r>
      </text>
    </comment>
    <comment ref="L71" authorId="0">
      <text>
        <r>
          <rPr>
            <b/>
            <sz val="10"/>
            <color indexed="81"/>
            <rFont val="Tahoma"/>
            <family val="2"/>
          </rPr>
          <t>Jon Harris:</t>
        </r>
        <r>
          <rPr>
            <sz val="10"/>
            <color indexed="81"/>
            <rFont val="Tahoma"/>
            <family val="2"/>
          </rPr>
          <t xml:space="preserve">
Was 67.3 after stopping the heat gun, then continued to increase for the next few minutes.</t>
        </r>
      </text>
    </comment>
    <comment ref="L72" authorId="0">
      <text>
        <r>
          <rPr>
            <b/>
            <sz val="10"/>
            <color indexed="81"/>
            <rFont val="Tahoma"/>
            <family val="2"/>
          </rPr>
          <t>Jon Harris:</t>
        </r>
        <r>
          <rPr>
            <sz val="10"/>
            <color indexed="81"/>
            <rFont val="Tahoma"/>
            <family val="2"/>
          </rPr>
          <t xml:space="preserve">
Warmed up and went back to ~62.7 in under a minute</t>
        </r>
      </text>
    </comment>
  </commentList>
</comments>
</file>

<file path=xl/comments5.xml><?xml version="1.0" encoding="utf-8"?>
<comments xmlns="http://schemas.openxmlformats.org/spreadsheetml/2006/main">
  <authors>
    <author>Jon Harris</author>
  </authors>
  <commentList>
    <comment ref="U2" authorId="0">
      <text>
        <r>
          <rPr>
            <b/>
            <sz val="9"/>
            <color indexed="81"/>
            <rFont val="Tahoma"/>
            <family val="2"/>
          </rPr>
          <t>Jon Harris:</t>
        </r>
        <r>
          <rPr>
            <sz val="9"/>
            <color indexed="81"/>
            <rFont val="Tahoma"/>
            <family val="2"/>
          </rPr>
          <t xml:space="preserve">
I re-characterized the ARC-2 on 2/3/2012.  I'm not sure why the reuslts were slightly different.  The power consumption was much more consistent throughout the range.  Perhaps I wasn't measuring right at the ARC-2 screw terminals, but instead at the power supply terminals?  That seems plausible and would explain why the divergence is larger at low voltage where the higher current would yield more IR drop from power supply terminals to ARC-2 screw terminals (over the CAT-5 cable and especially across the multi-meter).</t>
        </r>
      </text>
    </comment>
    <comment ref="L30" authorId="0">
      <text>
        <r>
          <rPr>
            <b/>
            <sz val="10"/>
            <color indexed="81"/>
            <rFont val="Tahoma"/>
            <family val="2"/>
          </rPr>
          <t>Jon Harris:</t>
        </r>
        <r>
          <rPr>
            <sz val="10"/>
            <color indexed="81"/>
            <rFont val="Tahoma"/>
            <family val="2"/>
          </rPr>
          <t xml:space="preserve">
Max output of GW GPC-3030 power supply.</t>
        </r>
      </text>
    </comment>
    <comment ref="M45" authorId="0">
      <text>
        <r>
          <rPr>
            <b/>
            <sz val="10"/>
            <color indexed="81"/>
            <rFont val="Tahoma"/>
            <family val="2"/>
          </rPr>
          <t>Jon Harris:</t>
        </r>
        <r>
          <rPr>
            <sz val="10"/>
            <color indexed="81"/>
            <rFont val="Tahoma"/>
            <family val="2"/>
          </rPr>
          <t xml:space="preserve">
The LED display uses this percentage of the total current/power (measured at 15V).</t>
        </r>
      </text>
    </comment>
  </commentList>
</comments>
</file>

<file path=xl/sharedStrings.xml><?xml version="1.0" encoding="utf-8"?>
<sst xmlns="http://schemas.openxmlformats.org/spreadsheetml/2006/main" count="458" uniqueCount="223">
  <si>
    <r>
      <t>5. Use a star topology (aka home run) instead of a daisy-chain.  By running a separate cable for each ARC, you reduce the voltage drop over the cable.  To make sure a star topology will work, go through the "1 ARC on the chain" calculation for each ARC and make sure each one is OK.  Then take the current required for each chain as listed under "Total current to chain (mA)" and add them up.  Make sure the sum does not exceed the value shown in cell D3.</t>
    </r>
    <r>
      <rPr>
        <b/>
        <sz val="10"/>
        <rFont val="Arial"/>
        <family val="2"/>
      </rPr>
      <t xml:space="preserve">
</t>
    </r>
    <r>
      <rPr>
        <sz val="10"/>
        <rFont val="Arial"/>
        <family val="2"/>
      </rPr>
      <t/>
    </r>
  </si>
  <si>
    <t>Jupiter/Solus</t>
  </si>
  <si>
    <r>
      <t xml:space="preserve">4. Use larger gauge wire.  CAT-5 has a limited selection, but other wire specifically for the power can be used in parallel with the CAT-5.  This will require some wiring work on the powering device side to merge the extra power cable with the CAT-5 connection.
</t>
    </r>
    <r>
      <rPr>
        <b/>
        <sz val="10"/>
        <rFont val="Arial"/>
        <family val="2"/>
      </rPr>
      <t xml:space="preserve">
</t>
    </r>
  </si>
  <si>
    <t>1. The easiest way to deal with ARC power issues is to decrease the number of ARCs or cable length.  Of course, that is usually not possible since it is determined by venue requirements.  But if it is possible to re-locate the powering device closer to the ARCs to reduce cable length, do so.</t>
  </si>
  <si>
    <r>
      <t xml:space="preserve">2. Power each ARC locally.  If the electrical wiring allows, use the provided "wall wart" power supply for each ARC.  Make sure you don't "double power" the ARCs, as described in the Quick Start Guide.
</t>
    </r>
    <r>
      <rPr>
        <b/>
        <sz val="10"/>
        <rFont val="Arial"/>
        <family val="2"/>
      </rPr>
      <t xml:space="preserve">
</t>
    </r>
  </si>
  <si>
    <t>ARC #2:</t>
  </si>
  <si>
    <t>ARC #3:</t>
  </si>
  <si>
    <t>ARC #4:</t>
  </si>
  <si>
    <t>Note: Most CAT-5 cable uses 24AWG conductors.</t>
  </si>
  <si>
    <t>Test Conditions (worst case):</t>
  </si>
  <si>
    <t>Maximum brightness, Display reads ########</t>
  </si>
  <si>
    <t>Modular ARCs:</t>
  </si>
  <si>
    <t>All LEDs On</t>
  </si>
  <si>
    <t>Multi-color LEDs amber</t>
  </si>
  <si>
    <t>Full-scale ARC-audio</t>
  </si>
  <si>
    <t>An ARC-SWK has 2 LED-intensive panels, so is the equivalent of this data plus one expansion panel.</t>
  </si>
  <si>
    <t>Result Code Text</t>
  </si>
  <si>
    <t>Measurements were made with 2 EXKs and 1 EX4, averaging the results.</t>
  </si>
  <si>
    <t>Applies to both EX4 and EXP expansion panels, which have nearly identical power requirements.</t>
  </si>
  <si>
    <t>AWG of CAT5 cable</t>
  </si>
  <si>
    <t>ARC Voltage (V)</t>
  </si>
  <si>
    <t>ARC Current (mA per)</t>
  </si>
  <si>
    <t>PWR cable Resistance (Ω)</t>
  </si>
  <si>
    <t>GND cable Resistance (Ω)</t>
  </si>
  <si>
    <t>Voltage at ARC's power input</t>
  </si>
  <si>
    <t>Voltage at ARC's ground input</t>
  </si>
  <si>
    <t>Cable</t>
  </si>
  <si>
    <t>1 ARC on the chain</t>
  </si>
  <si>
    <t>2 ARCs on the chain</t>
  </si>
  <si>
    <t>3 ARCs on the chain</t>
  </si>
  <si>
    <t>Total current to chain (mA)</t>
  </si>
  <si>
    <t>Defaults</t>
  </si>
  <si>
    <t>24 AWG Cable Resistance</t>
  </si>
  <si>
    <t>26 AWG Cable Resistance</t>
  </si>
  <si>
    <t>28 AWG Cable Resistance</t>
  </si>
  <si>
    <t>Volts</t>
  </si>
  <si>
    <t>Ω / 1000'</t>
  </si>
  <si>
    <t>Current (mA)</t>
  </si>
  <si>
    <t>Voltage (V)</t>
  </si>
  <si>
    <t>Instructions</t>
  </si>
  <si>
    <t>Power (W)</t>
  </si>
  <si>
    <t>Model</t>
  </si>
  <si>
    <t>% Error</t>
  </si>
  <si>
    <t>ARC Minimum Voltage:</t>
  </si>
  <si>
    <t>ARC-Audio lines</t>
  </si>
  <si>
    <t>ARC #1:</t>
  </si>
  <si>
    <t>ARC-Mic</t>
  </si>
  <si>
    <t>ARC-XLR</t>
  </si>
  <si>
    <t>Type:</t>
  </si>
  <si>
    <t>Exp. Panels:</t>
  </si>
  <si>
    <t>ARC-2 Current (mA per)</t>
  </si>
  <si>
    <t>Modular ARC Current (mA per)</t>
  </si>
  <si>
    <t>Exp. Panel Current (mA per)</t>
  </si>
  <si>
    <t>CAUTION: Power Supply Voltage too high!</t>
  </si>
  <si>
    <t>ARC Minimum Voltage (V)</t>
  </si>
  <si>
    <t>OK</t>
  </si>
  <si>
    <t>Result code</t>
  </si>
  <si>
    <t>Actual Current (A per)</t>
  </si>
  <si>
    <t>All LEDs on, multi-color LEDs amber</t>
  </si>
  <si>
    <t>Modular/ARC-2 Min. Voltage:</t>
  </si>
  <si>
    <t>Safety Margin (cable error)</t>
  </si>
  <si>
    <t>Display reads  ########</t>
  </si>
  <si>
    <t>Maximum brightness</t>
  </si>
  <si>
    <t>Modeled (mA)</t>
  </si>
  <si>
    <t>Edit Defaults</t>
  </si>
  <si>
    <t>Go to Instructions</t>
  </si>
  <si>
    <t/>
  </si>
  <si>
    <t>Total cable length (feet)</t>
  </si>
  <si>
    <t>Not grounded</t>
  </si>
  <si>
    <r>
      <t>Note:</t>
    </r>
    <r>
      <rPr>
        <sz val="10"/>
        <rFont val="Arial"/>
        <family val="2"/>
      </rPr>
      <t xml:space="preserve"> Editable values are highlighted in </t>
    </r>
  </si>
  <si>
    <t>Feet/Meters Conversion</t>
  </si>
  <si>
    <t>Enter feet:</t>
  </si>
  <si>
    <t>Enter meters:</t>
  </si>
  <si>
    <t>Feet/Meters Conversion Calculator</t>
  </si>
  <si>
    <t xml:space="preserve"> feet</t>
  </si>
  <si>
    <t xml:space="preserve"> meters</t>
  </si>
  <si>
    <t>Applies to ARC-K1, ARC-SW4, ARC-MIC, ARC-XLR (but not ARC-SWK)</t>
  </si>
  <si>
    <t>Measurements were made with an ARC-XLR, but the others (except ARC-SWK) are nearly identical.</t>
  </si>
  <si>
    <r>
      <t xml:space="preserve">To begin, click one of the links below. </t>
    </r>
    <r>
      <rPr>
        <sz val="10"/>
        <color indexed="16"/>
        <rFont val="Arial"/>
        <family val="2"/>
      </rPr>
      <t>(If the links don't work, click on the Main tab in the lower left and scroll down to the appropriate section.)</t>
    </r>
  </si>
  <si>
    <t>Total power to chain (W)</t>
  </si>
  <si>
    <t>Total ARC power (W)</t>
  </si>
  <si>
    <t>Total "wasted" power (W)</t>
  </si>
  <si>
    <t>Actual Power (W per)</t>
  </si>
  <si>
    <t>ARC Type List</t>
  </si>
  <si>
    <t>Powering Device List</t>
  </si>
  <si>
    <t>ARC-PS</t>
  </si>
  <si>
    <t>SymNet Express</t>
  </si>
  <si>
    <t>Integrator Series</t>
  </si>
  <si>
    <t>AirTools 2x/2m</t>
  </si>
  <si>
    <t>Control I/O</t>
  </si>
  <si>
    <t>Powering Device</t>
  </si>
  <si>
    <t>Power Supply Voltage</t>
  </si>
  <si>
    <t>Custom</t>
  </si>
  <si>
    <t>Voltage</t>
  </si>
  <si>
    <t>PS-6</t>
  </si>
  <si>
    <t>Max Current (A)</t>
  </si>
  <si>
    <t>Power Supply Max Current</t>
  </si>
  <si>
    <t>mA</t>
  </si>
  <si>
    <t>Result Code</t>
  </si>
  <si>
    <t>Max Current Exceeded</t>
  </si>
  <si>
    <t>&lt;Select&gt;</t>
  </si>
  <si>
    <t>Note: some rows may be hidden</t>
  </si>
  <si>
    <r>
      <t xml:space="preserve">Length of cable </t>
    </r>
    <r>
      <rPr>
        <b/>
        <sz val="10"/>
        <color indexed="16"/>
        <rFont val="Arial"/>
        <family val="2"/>
      </rPr>
      <t>(feet)</t>
    </r>
  </si>
  <si>
    <t>Version History</t>
  </si>
  <si>
    <t xml:space="preserve">  v1.0 - Initial release supporting the original ARC.</t>
  </si>
  <si>
    <t xml:space="preserve">  v2.0 - Support for Mod-ARCs</t>
  </si>
  <si>
    <t xml:space="preserve">  v2.1 - Added display of total current, total power, and "wasted" power, improved accuracy</t>
  </si>
  <si>
    <t xml:space="preserve">  v2.5 - Allow selecting powering device directly from dropdown, added check for exceeding current limits of supply</t>
  </si>
  <si>
    <t>Display Max</t>
  </si>
  <si>
    <t>Display Off</t>
  </si>
  <si>
    <t>Display power test note</t>
  </si>
  <si>
    <t>Percentage:</t>
  </si>
  <si>
    <t>ARC #5:</t>
  </si>
  <si>
    <t>ARC #6:</t>
  </si>
  <si>
    <t>ARC #7:</t>
  </si>
  <si>
    <t>ARC #8:</t>
  </si>
  <si>
    <t>None</t>
  </si>
  <si>
    <t>Drop List values</t>
  </si>
  <si>
    <t>empty</t>
  </si>
  <si>
    <t>Fail</t>
  </si>
  <si>
    <t>Won't Work</t>
  </si>
  <si>
    <t>ARCs Selected</t>
  </si>
  <si>
    <t>Must Select Powering Device Above</t>
  </si>
  <si>
    <t>Custom power supply rating:</t>
  </si>
  <si>
    <t>Solutions</t>
  </si>
  <si>
    <t>Voltage read right at ARC screw terminals (to avoid IR drop through current meter and short CAT-5 cable)</t>
  </si>
  <si>
    <t>Modeled Old</t>
  </si>
  <si>
    <t>Power Old</t>
  </si>
  <si>
    <t>ARC-2e Current (mA per)</t>
  </si>
  <si>
    <t>ARC-2e</t>
  </si>
  <si>
    <t>ARC-2e Min. Voltage:</t>
  </si>
  <si>
    <t>Is ModARC</t>
  </si>
  <si>
    <t>ARC (legacy)</t>
  </si>
  <si>
    <t>% Change</t>
  </si>
  <si>
    <t>Compared to Original ARC-2</t>
  </si>
  <si>
    <t>ARC-PSe</t>
  </si>
  <si>
    <t>ARC-SW4e</t>
  </si>
  <si>
    <t>ARC-K1e</t>
  </si>
  <si>
    <t>ARC-2 (legacy)</t>
  </si>
  <si>
    <t>6. Choose the wire gauge of the cable you are using from the drop-down list under "Cable". Most but not all CAT-5 cable uses 24AWG conductors.  This information is often printed on the cable itself.  If not, see the cable manufacturer's data sheet for more information.
If you want, you can also override the default values for things such as cable resistance, power supply voltage, and whether the ARC-Audio lines are grounded or not. Use caution when changing the defaults!
7. If the selected configuration will work each ARC will display "OK".  If not it will display "Won't Work" or another error message.  If it doesn't work, decrease cable lengths, number of ARCs and/or wire gauge.  Or see other ideas in the "Solutions" section below.</t>
  </si>
  <si>
    <t>3. Ground the ARC-Audio lines if not using the ARC-PSe.  If you are not using ARC-Audio, which you probably aren't in a daisy-chain topology, the two wires normally used for audio can be used for additional ground connections to provide lower overall resistance.  For situations that are close to working, this usually solves the problems.  See the documentation for details on grounding these lines (generally requires adding jumpers).</t>
  </si>
  <si>
    <r>
      <t>6. Use an ARC-PSe.  If you get a message about the maximum current being exceeded, an ARC-PSe will provide additional current.</t>
    </r>
    <r>
      <rPr>
        <b/>
        <sz val="10"/>
        <rFont val="Arial"/>
        <family val="2"/>
      </rPr>
      <t xml:space="preserve">
</t>
    </r>
    <r>
      <rPr>
        <sz val="10"/>
        <rFont val="Arial"/>
        <family val="2"/>
      </rPr>
      <t/>
    </r>
  </si>
  <si>
    <r>
      <t>7. Use a custom power supply.  This can be helpful if you receive a message about maximum current being exceeded or if your powering device uses a lower voltage, such as 15V with a SymNet Express.  You may use a power supply with up to 28 VDC output.  We have heard It is possible to "hot wire" a 3rd party power supply into an ARC-PSe to simplify wiring, but cannot vouch for such a configuration.</t>
    </r>
    <r>
      <rPr>
        <b/>
        <sz val="10"/>
        <rFont val="Arial"/>
        <family val="2"/>
      </rPr>
      <t xml:space="preserve">  Third party power supplies are not recommend, endorsed or supported by Symetrix, nor can the company be held responsible by any damage caused by incorrect usage of a third party power supply.
</t>
    </r>
    <r>
      <rPr>
        <sz val="10"/>
        <rFont val="Arial"/>
        <family val="2"/>
      </rPr>
      <t/>
    </r>
  </si>
  <si>
    <t>9. Live on the edge!  This spreadsheet is designed to be very conservative and covers worst case scenarios with built-in safety margins.  In reality, if you are close to working, it may work just fine.  But you should carefully verify real-world operations before exceeding the limits shown in this spreadsheet.
To test this, measure the power supply voltage on the last ARC in the chain with a volt meter.  If it is 10V or more, you should be safe.  Be sure to measure the voltage right on power-up, as that is when the most current is drawn.  For menu ARCs, create a idle message of "########" to maximize power consumption.</t>
  </si>
  <si>
    <t>yellow.</t>
  </si>
  <si>
    <t>Test:</t>
  </si>
  <si>
    <t>Old Values measured on 2/3/2012</t>
  </si>
  <si>
    <t>Voltage read via a little CAT-5 pig-tail plugged into the second RJ-45 jack, not at the lab supply's output.  This avoids IR drop through current meter (a few tenths of a volt)</t>
  </si>
  <si>
    <t>Set custom power supply to 24V/1000 mA.  Set powering device to &lt;Select&gt;.  Set Safety Margin to 1.1</t>
  </si>
  <si>
    <t xml:space="preserve">There are some differences between the various types.  In particular, the Mic and XLR have an additional (bicolor) LED plus a mic pre-amp, so they consume more power. </t>
  </si>
  <si>
    <t>For reference, here are current measurements at 24.0 VDC.</t>
  </si>
  <si>
    <t>ARC-Mic:</t>
  </si>
  <si>
    <t>ARC-SW4:</t>
  </si>
  <si>
    <t>ARC-K1:</t>
  </si>
  <si>
    <t>ARC-SW4e:</t>
  </si>
  <si>
    <t>ARC-K1e:</t>
  </si>
  <si>
    <t>In light of the fact that we don't make anything but the K1e and SW4e, it would make sense to re-characterize based on these.</t>
  </si>
  <si>
    <t>That is a project for a future upgrade.  For now, this gives us an extra 13% safety margin when used with new e-series devices.</t>
  </si>
  <si>
    <t>Original version based on ARC-XLR.</t>
  </si>
  <si>
    <t>New version 4/22/2013 based on worst old K1 I could find.</t>
  </si>
  <si>
    <t>To Do: Create model</t>
  </si>
  <si>
    <t>Also, the new and old versions of the SW4 and K1 are slighly different for an unknown reason.</t>
  </si>
  <si>
    <t>I have made the measurements, but haven't had time to re-do everything to support differentiating between ARC-Mic/XLR and K1e/SW4e.</t>
  </si>
  <si>
    <t>Hide these rows for all 4 cases before releasing.</t>
  </si>
  <si>
    <t>&lt; - - - - - - - - - - - - - - - - - - - - -  Hide all of these columns before distributing. - - - - - - - - - - - - - - - - - - - - - - - - &gt;</t>
  </si>
  <si>
    <r>
      <t>Disclaimer:</t>
    </r>
    <r>
      <rPr>
        <sz val="10"/>
        <rFont val="Arial"/>
        <family val="2"/>
      </rPr>
      <t xml:space="preserve">  In recognition of the relative risks and benefits to both the Integrator and SYMETRIX, INC., any recommendation or suggestion relating to the use of the Products made by SYMETRIX, INC. or any other manufacturer either in technical literature or in response to a specific inquiry or otherwise, is given in good faith. HOWEVER, it is for the Integrator to satisfy himself that the Products are fit for the purpose of being utilized by a Consumer as the end-user of the Products. In particular, calculations made by this spreadsheet are not a guarantee that a given scenario will work.
To the fullest extent permitted by law, SYMETRIX, INC. is not liable for any and all claims, losses, costs, or unforeseen damages of any nature whatsoever. It is intended that this limitation apply to any and all liability or cause of action however alleged or arising, unless otherwise prohibited by law.</t>
    </r>
  </si>
  <si>
    <t>ARC-SWK</t>
  </si>
  <si>
    <t>Actual Expansion Panels</t>
  </si>
  <si>
    <t>ARC-2 / ARC-2e:</t>
  </si>
  <si>
    <t>Exp. Panel List</t>
  </si>
  <si>
    <t>Max Expansion Panels</t>
  </si>
  <si>
    <r>
      <t>Notes</t>
    </r>
    <r>
      <rPr>
        <sz val="8"/>
        <rFont val="Arial"/>
        <family val="2"/>
      </rPr>
      <t xml:space="preserve">
1. If you receive an error message about circular references when opening this spreadsheet, you need to turn on the "Iteration" feature. Depending on what version of Excel you are using, this is either under Tools-&gt;Options-&gt;Calculations tab or File tab-&gt;Options-&gt;Formulas. Make sure "Iteration" is checked. The default settings of 100 and 0.001 for "Maximum iterations" and "Maximum change" are fine.
2. When trying to find the maximum cable length that will work with a particular scenario, you may notice that a value that worked at one point doesn't work later. This is due to an issue with Excel's iteration feature where it can get "stuck". To work around this problem, enter a very small number for the cable length, then increase it again. Working from lower values to higher values works much better than vice versa.</t>
    </r>
  </si>
  <si>
    <t xml:space="preserve">  v4.0 - Added support for ARC-3.</t>
  </si>
  <si>
    <t>ARC-3</t>
  </si>
  <si>
    <t>ARC-3 Current (mA per)</t>
  </si>
  <si>
    <t>Worst case</t>
  </si>
  <si>
    <t>Unit has a large menu name and value that takes up most of the top 2 lines, one button held down</t>
  </si>
  <si>
    <t>Typical bad</t>
  </si>
  <si>
    <t>Typical good</t>
  </si>
  <si>
    <t>Unit has a small menu name and value that takes up half or less of the top 2 lines, no buttons held down</t>
  </si>
  <si>
    <t>Fader full</t>
  </si>
  <si>
    <t>No buttons/fader</t>
  </si>
  <si>
    <t>Unit has warmed up for 10 minutes or so - have noticed ~4% increase in power consumption after warming up</t>
  </si>
  <si>
    <t>Temperature Dependence</t>
  </si>
  <si>
    <t>Display has an all-white bitmap on top 2 lines, 2-input selector on third, fader held down and adjusted for max value</t>
  </si>
  <si>
    <t>Running for 30+ minutes in enclosed box on desk</t>
  </si>
  <si>
    <t>First powered up after cooling to room temp</t>
  </si>
  <si>
    <t>24 V, worst case except fader not lit, must touch fader at least once to make it go from med to dim</t>
  </si>
  <si>
    <t>Hot air from heat gone blown into rear holes of enclosure for a few minutes</t>
  </si>
  <si>
    <t>Error</t>
  </si>
  <si>
    <t>ARC-3 Min. Voltage:</t>
  </si>
  <si>
    <t>Blasted with cold spray all around the enclosure</t>
  </si>
  <si>
    <t>Note: ~70% of worst case</t>
  </si>
  <si>
    <t>A few worst-case vs. typical measurements for reference, note typical good takes ~45% of power as worst case!</t>
  </si>
  <si>
    <t>Note: ~45% of worst case</t>
  </si>
  <si>
    <t>ARC-3:</t>
  </si>
  <si>
    <t>Top 2 lines of screen all white, slider active</t>
  </si>
  <si>
    <t>Hide appropriate rows/columns. Protect each sheet.  Hide all sheets except Instructions and Main (Format-&gt;Sheet-&gt;Hide).  Select Instructions A1.  Protect the entire work-book.  Save and check in to P4.</t>
  </si>
  <si>
    <t xml:space="preserve">  v4.1 - Added note about ARC-PSe current per port vs. total.</t>
  </si>
  <si>
    <t xml:space="preserve">  v5.0 - Added entries for Prism and Solus NX as powering devices, added support for up to 10 ARCs on the chain.</t>
  </si>
  <si>
    <t xml:space="preserve">  v3.0 - Added support for up to 8 ARCs on the chain. Added entries for new Symetrix ARC and powering devices.
    Added Solutions section. Corrected some powering values.  Visual improvements.</t>
  </si>
  <si>
    <t>Solus NX</t>
  </si>
  <si>
    <t>ARC #9:</t>
  </si>
  <si>
    <t>ARC #10:</t>
  </si>
  <si>
    <t>4-10 ARCs on the chain</t>
  </si>
  <si>
    <t>2. Based on how many ARCs you have on each chain (1-10), use the appropriate section on the spreadsheet.
Note that parameters you can adjust are highlighted in light yellow.
3. Select the type of ARC device from the drop-down menu. For ARC-2i, select ARC-2 (legacy).</t>
  </si>
  <si>
    <r>
      <t xml:space="preserve">1. </t>
    </r>
    <r>
      <rPr>
        <u/>
        <sz val="10"/>
        <color indexed="12"/>
        <rFont val="Arial"/>
        <family val="2"/>
      </rPr>
      <t>Select the device</t>
    </r>
    <r>
      <rPr>
        <sz val="10"/>
        <rFont val="Arial"/>
        <family val="2"/>
      </rPr>
      <t xml:space="preserve"> that will be supplying power to your ARC chain, for example SymNet Edge/Radius, Express, Jupiter, or ARC-PSe.
</t>
    </r>
    <r>
      <rPr>
        <b/>
        <i/>
        <sz val="10"/>
        <rFont val="Arial"/>
        <family val="2"/>
      </rPr>
      <t>This must be done before proceeding.</t>
    </r>
    <r>
      <rPr>
        <sz val="10"/>
        <rFont val="Arial"/>
        <family val="2"/>
      </rPr>
      <t xml:space="preserve"> </t>
    </r>
    <r>
      <rPr>
        <b/>
        <u/>
        <sz val="10"/>
        <color indexed="12"/>
        <rFont val="Arial"/>
        <family val="2"/>
      </rPr>
      <t>Click here to select the powering device now.</t>
    </r>
  </si>
  <si>
    <t>4. If you have selected one of the modular ARCs, also select the number of add-on EX4e/EXK panels in use. For standard configurations without add-ons, leave this set to zero.
5. Enter the length of cable in feet between the powering device (e.g. ARC-PSe, Control I/O, Express) and the ARC and between each additional ARC under "Cable".
For those working in the metric system, a feet/meters conversion calculator is available at the bottom of the page.</t>
  </si>
  <si>
    <r>
      <t>Before release to web:</t>
    </r>
    <r>
      <rPr>
        <sz val="10"/>
        <rFont val="Arial"/>
        <family val="2"/>
      </rPr>
      <t xml:space="preserve"> Set all expansion panels to 0, set ARC types to ARC-2e, except 5-10 should be None</t>
    </r>
  </si>
  <si>
    <t>Set all cable segments to 100, 10, 10, 10…  Update date/version number on Instructions tab</t>
  </si>
  <si>
    <t>ModARC Count</t>
  </si>
  <si>
    <t>Max Mod-ARCs</t>
  </si>
  <si>
    <t>Max ModARCs:</t>
  </si>
  <si>
    <t>+10% error</t>
  </si>
  <si>
    <t>Too many Modular ARCs</t>
  </si>
  <si>
    <t>^ ^ ^ ^ ^ ^  Hide these rows before releasing.         v v v v v v v</t>
  </si>
  <si>
    <t>8. Reduce the brightness setting of ARC-2e/2 devices and avoid amber LEDs for modular ARCs. The spreadsheet doesn't allow taking into account reduced brightness, but if your situation is close, reducing the brightness of an ARC-2e even one or two levels will lower the overall power draw considerably.  Similarly, using amber LEDs for a modular ARC consumes nearly twice the power of green or red.  For all ARC devices, the LEDs are the primary consumers of power.</t>
  </si>
  <si>
    <t>Edge/Radius</t>
  </si>
  <si>
    <t>Prism 8x8/12x12</t>
  </si>
  <si>
    <t>Prism 0x0/4x4</t>
  </si>
  <si>
    <r>
      <t>Notes on list value ordering:</t>
    </r>
    <r>
      <rPr>
        <sz val="9"/>
        <rFont val="Arial"/>
        <family val="2"/>
      </rPr>
      <t xml:space="preserve">
These values should be referred to using cell names (aka Named Ranges).  As such, if the order of them is changed, all that needs to happen is to make sure the cell name follows along with the item name.  For example, the cell with the text Custom needs to always be called _pwr_Custom.  This can be achieved by cut/pasting the cells when re-ordering, as opposed to simply re-typing in different names.  Use blank cells as a "scratch" location during re-ordering.
Note that most of these names aren't used anywhere.  Only names for ARC-PSe, Custom, and &lt;Select&gt; and referenced.  For other things, I use a VLOOKUP() on the text to find the voltage, current, etc.
The entire table has a named range of _pwr_table.  Use this whenever possible when doing a lookup, etc.  If items are added or moved, make sure the named range _pwr_table encompasses the entire table. When referring to just the powering devices, use INDEX(_pwr_table,,1).</t>
    </r>
  </si>
  <si>
    <t xml:space="preserve">  v6.0 - Added error message for too many Mod-ARCs on a single powering devices. Broke out Prism models as powering devices.</t>
  </si>
  <si>
    <t>Version 6.0, 7/19/2018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</si>
</sst>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
    <numFmt numFmtId="167" formatCode="[$-409]h:mm:ss\ AM/PM;@"/>
    <numFmt numFmtId="168" formatCode="0.0%"/>
    <numFmt numFmtId="169" formatCode="0\ &quot;AWG&quot;"/>
  </numFmts>
  <fonts count="35" x14ac:knownFonts="1">
    <font>
      <sz val="10"/>
      <name val="Arial"/>
    </font>
    <font>
      <b/>
      <sz val="10"/>
      <name val="Arial"/>
      <family val="2"/>
    </font>
    <font>
      <sz val="10"/>
      <name val="Arial"/>
      <family val="2"/>
    </font>
    <font>
      <u/>
      <sz val="10"/>
      <color indexed="12"/>
      <name val="Arial"/>
      <family val="2"/>
    </font>
    <font>
      <b/>
      <u/>
      <sz val="12"/>
      <name val="Arial"/>
      <family val="2"/>
    </font>
    <font>
      <i/>
      <sz val="9"/>
      <name val="Arial"/>
      <family val="2"/>
    </font>
    <font>
      <sz val="9"/>
      <name val="Arial"/>
      <family val="2"/>
    </font>
    <font>
      <b/>
      <sz val="8"/>
      <color indexed="81"/>
      <name val="Tahoma"/>
      <family val="2"/>
    </font>
    <font>
      <sz val="8"/>
      <color indexed="81"/>
      <name val="Tahoma"/>
      <family val="2"/>
    </font>
    <font>
      <b/>
      <u/>
      <sz val="10"/>
      <name val="Arial"/>
      <family val="2"/>
    </font>
    <font>
      <b/>
      <sz val="10"/>
      <color indexed="16"/>
      <name val="Arial"/>
      <family val="2"/>
    </font>
    <font>
      <i/>
      <sz val="10"/>
      <name val="Arial"/>
      <family val="2"/>
    </font>
    <font>
      <b/>
      <sz val="10"/>
      <color indexed="8"/>
      <name val="Arial"/>
      <family val="2"/>
    </font>
    <font>
      <b/>
      <u/>
      <sz val="12"/>
      <color indexed="12"/>
      <name val="Arial"/>
      <family val="2"/>
    </font>
    <font>
      <b/>
      <sz val="14"/>
      <color indexed="16"/>
      <name val="Arial"/>
      <family val="2"/>
    </font>
    <font>
      <sz val="8"/>
      <name val="Arial"/>
      <family val="2"/>
    </font>
    <font>
      <sz val="10"/>
      <color indexed="16"/>
      <name val="Arial"/>
      <family val="2"/>
    </font>
    <font>
      <b/>
      <sz val="9"/>
      <name val="Arial Narrow"/>
      <family val="2"/>
    </font>
    <font>
      <b/>
      <sz val="10"/>
      <name val="Arial Narrow"/>
      <family val="2"/>
    </font>
    <font>
      <sz val="10"/>
      <color indexed="81"/>
      <name val="Tahoma"/>
      <family val="2"/>
    </font>
    <font>
      <b/>
      <sz val="10"/>
      <color indexed="81"/>
      <name val="Tahoma"/>
      <family val="2"/>
    </font>
    <font>
      <b/>
      <sz val="12"/>
      <name val="Arial"/>
      <family val="2"/>
    </font>
    <font>
      <b/>
      <i/>
      <sz val="10"/>
      <name val="Arial"/>
      <family val="2"/>
    </font>
    <font>
      <b/>
      <u/>
      <sz val="10"/>
      <color indexed="12"/>
      <name val="Arial"/>
      <family val="2"/>
    </font>
    <font>
      <b/>
      <i/>
      <sz val="11"/>
      <name val="Arial"/>
      <family val="2"/>
    </font>
    <font>
      <b/>
      <sz val="11"/>
      <name val="Arial"/>
      <family val="2"/>
    </font>
    <font>
      <i/>
      <sz val="10"/>
      <color indexed="18"/>
      <name val="Arial"/>
      <family val="2"/>
    </font>
    <font>
      <b/>
      <sz val="9"/>
      <color indexed="81"/>
      <name val="Tahoma"/>
      <family val="2"/>
    </font>
    <font>
      <sz val="9"/>
      <color indexed="81"/>
      <name val="Tahoma"/>
      <family val="2"/>
    </font>
    <font>
      <u/>
      <sz val="10"/>
      <name val="Arial"/>
      <family val="2"/>
    </font>
    <font>
      <b/>
      <sz val="9"/>
      <name val="Arial"/>
      <family val="2"/>
    </font>
    <font>
      <sz val="10"/>
      <color indexed="23"/>
      <name val="Arial"/>
      <family val="2"/>
    </font>
    <font>
      <sz val="10"/>
      <name val="Arial Narrow"/>
      <family val="2"/>
    </font>
    <font>
      <sz val="10"/>
      <color indexed="55"/>
      <name val="Arial"/>
      <family val="2"/>
    </font>
    <font>
      <sz val="10"/>
      <color indexed="55"/>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theme="0" tint="-0.14999847407452621"/>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2" fillId="0" borderId="0"/>
  </cellStyleXfs>
  <cellXfs count="213">
    <xf numFmtId="0" fontId="0" fillId="0" borderId="0" xfId="0"/>
    <xf numFmtId="166" fontId="1" fillId="0" borderId="0" xfId="0" applyNumberFormat="1" applyFont="1" applyProtection="1">
      <protection hidden="1"/>
    </xf>
    <xf numFmtId="2" fontId="2" fillId="0" borderId="0" xfId="0" applyNumberFormat="1" applyFont="1" applyAlignment="1" applyProtection="1">
      <alignment horizontal="center"/>
      <protection hidden="1"/>
    </xf>
    <xf numFmtId="2" fontId="2" fillId="0" borderId="0" xfId="0" applyNumberFormat="1" applyFont="1" applyBorder="1" applyAlignment="1" applyProtection="1">
      <alignment horizontal="center"/>
      <protection hidden="1"/>
    </xf>
    <xf numFmtId="166" fontId="2" fillId="0" borderId="0" xfId="0" applyNumberFormat="1" applyFont="1" applyAlignment="1" applyProtection="1">
      <alignment horizontal="center"/>
      <protection hidden="1"/>
    </xf>
    <xf numFmtId="0" fontId="4" fillId="0" borderId="0" xfId="0" applyFont="1" applyProtection="1">
      <protection hidden="1"/>
    </xf>
    <xf numFmtId="0" fontId="2" fillId="0" borderId="0" xfId="0" applyFont="1" applyProtection="1">
      <protection hidden="1"/>
    </xf>
    <xf numFmtId="2" fontId="2" fillId="0" borderId="0" xfId="0" applyNumberFormat="1" applyFont="1" applyProtection="1">
      <protection hidden="1"/>
    </xf>
    <xf numFmtId="0" fontId="1" fillId="0" borderId="0" xfId="0" applyFont="1" applyAlignment="1" applyProtection="1">
      <alignment horizontal="right"/>
      <protection hidden="1"/>
    </xf>
    <xf numFmtId="0" fontId="2" fillId="0" borderId="0" xfId="0" applyFont="1" applyFill="1" applyBorder="1" applyProtection="1">
      <protection hidden="1"/>
    </xf>
    <xf numFmtId="0" fontId="0" fillId="0" borderId="0" xfId="0" applyProtection="1">
      <protection hidden="1"/>
    </xf>
    <xf numFmtId="2" fontId="1" fillId="0" borderId="0" xfId="0" applyNumberFormat="1" applyFont="1" applyProtection="1">
      <protection hidden="1"/>
    </xf>
    <xf numFmtId="167" fontId="2" fillId="0" borderId="0" xfId="0" applyNumberFormat="1" applyFont="1" applyAlignment="1" applyProtection="1">
      <alignment horizontal="center"/>
      <protection hidden="1"/>
    </xf>
    <xf numFmtId="164" fontId="0" fillId="0" borderId="1" xfId="0" applyNumberFormat="1" applyBorder="1"/>
    <xf numFmtId="164" fontId="0" fillId="0" borderId="2" xfId="0" applyNumberFormat="1" applyBorder="1"/>
    <xf numFmtId="164" fontId="0" fillId="0" borderId="3" xfId="0" applyNumberFormat="1" applyBorder="1"/>
    <xf numFmtId="164" fontId="0" fillId="0" borderId="4" xfId="0" applyNumberFormat="1" applyBorder="1"/>
    <xf numFmtId="0" fontId="9" fillId="2" borderId="5" xfId="0" applyFont="1" applyFill="1" applyBorder="1" applyProtection="1">
      <protection hidden="1"/>
    </xf>
    <xf numFmtId="0" fontId="9" fillId="2" borderId="6" xfId="0" applyFont="1" applyFill="1" applyBorder="1" applyProtection="1">
      <protection hidden="1"/>
    </xf>
    <xf numFmtId="10" fontId="2" fillId="0" borderId="0" xfId="0" applyNumberFormat="1" applyFont="1" applyProtection="1">
      <protection hidden="1"/>
    </xf>
    <xf numFmtId="0" fontId="5" fillId="0" borderId="0" xfId="0" applyFont="1" applyAlignment="1" applyProtection="1">
      <alignment horizontal="left"/>
      <protection hidden="1"/>
    </xf>
    <xf numFmtId="0" fontId="6" fillId="0" borderId="0" xfId="0" applyFont="1" applyAlignment="1"/>
    <xf numFmtId="164" fontId="2" fillId="0" borderId="0" xfId="0" applyNumberFormat="1" applyFont="1" applyProtection="1">
      <protection hidden="1"/>
    </xf>
    <xf numFmtId="0" fontId="0" fillId="0" borderId="0" xfId="0" applyAlignment="1"/>
    <xf numFmtId="0" fontId="2" fillId="0" borderId="1" xfId="0" applyFont="1" applyBorder="1" applyProtection="1">
      <protection hidden="1"/>
    </xf>
    <xf numFmtId="0" fontId="0" fillId="0" borderId="0" xfId="0" applyFill="1" applyBorder="1" applyAlignment="1">
      <alignment horizontal="center"/>
    </xf>
    <xf numFmtId="0" fontId="0" fillId="0" borderId="0" xfId="0" applyAlignment="1">
      <alignment horizontal="left" vertical="top" wrapText="1"/>
    </xf>
    <xf numFmtId="0" fontId="4" fillId="0" borderId="0" xfId="0" applyFont="1" applyBorder="1" applyAlignment="1" applyProtection="1">
      <alignment horizontal="left"/>
      <protection hidden="1"/>
    </xf>
    <xf numFmtId="0" fontId="2" fillId="0" borderId="0" xfId="0" applyFont="1" applyBorder="1" applyProtection="1">
      <protection hidden="1"/>
    </xf>
    <xf numFmtId="0" fontId="1" fillId="0" borderId="0" xfId="0" applyFont="1" applyBorder="1" applyAlignment="1" applyProtection="1">
      <alignment horizontal="center"/>
      <protection hidden="1"/>
    </xf>
    <xf numFmtId="0" fontId="1" fillId="0" borderId="1" xfId="0" applyFont="1" applyBorder="1" applyAlignment="1" applyProtection="1">
      <alignment horizontal="right"/>
      <protection hidden="1"/>
    </xf>
    <xf numFmtId="2" fontId="2" fillId="0" borderId="0" xfId="0" applyNumberFormat="1" applyFont="1" applyFill="1" applyBorder="1" applyAlignment="1" applyProtection="1">
      <alignment horizontal="center"/>
      <protection hidden="1"/>
    </xf>
    <xf numFmtId="2" fontId="2" fillId="0" borderId="2" xfId="0" applyNumberFormat="1" applyFont="1" applyBorder="1" applyAlignment="1" applyProtection="1">
      <alignment horizontal="center"/>
      <protection hidden="1"/>
    </xf>
    <xf numFmtId="2" fontId="2" fillId="0" borderId="0" xfId="0" applyNumberFormat="1" applyFont="1" applyBorder="1" applyProtection="1">
      <protection hidden="1"/>
    </xf>
    <xf numFmtId="165" fontId="2" fillId="0" borderId="0" xfId="0" applyNumberFormat="1" applyFont="1" applyBorder="1" applyAlignment="1" applyProtection="1">
      <alignment horizontal="center"/>
      <protection hidden="1"/>
    </xf>
    <xf numFmtId="1" fontId="2" fillId="0" borderId="0" xfId="0" applyNumberFormat="1" applyFont="1" applyBorder="1" applyAlignment="1" applyProtection="1">
      <alignment horizontal="center"/>
      <protection hidden="1"/>
    </xf>
    <xf numFmtId="0" fontId="1" fillId="0" borderId="3" xfId="0" applyFont="1" applyBorder="1" applyAlignment="1" applyProtection="1">
      <alignment horizontal="right"/>
      <protection hidden="1"/>
    </xf>
    <xf numFmtId="1" fontId="1" fillId="0" borderId="7" xfId="0" applyNumberFormat="1" applyFont="1" applyBorder="1" applyAlignment="1" applyProtection="1">
      <alignment horizontal="center"/>
      <protection hidden="1"/>
    </xf>
    <xf numFmtId="0" fontId="2" fillId="0" borderId="7" xfId="0" applyNumberFormat="1" applyFont="1" applyBorder="1" applyAlignment="1" applyProtection="1">
      <alignment horizontal="center"/>
      <protection hidden="1"/>
    </xf>
    <xf numFmtId="2" fontId="2" fillId="0" borderId="7" xfId="0" applyNumberFormat="1" applyFont="1" applyBorder="1" applyAlignment="1" applyProtection="1">
      <alignment horizontal="center"/>
      <protection hidden="1"/>
    </xf>
    <xf numFmtId="0" fontId="2" fillId="0" borderId="4" xfId="0" applyFont="1" applyBorder="1" applyProtection="1">
      <protection hidden="1"/>
    </xf>
    <xf numFmtId="2" fontId="2" fillId="0" borderId="4" xfId="0" applyNumberFormat="1" applyFont="1" applyBorder="1" applyAlignment="1" applyProtection="1">
      <alignment horizontal="center"/>
      <protection hidden="1"/>
    </xf>
    <xf numFmtId="164" fontId="0" fillId="0" borderId="0" xfId="0" applyNumberFormat="1"/>
    <xf numFmtId="2" fontId="0" fillId="0" borderId="0" xfId="0" applyNumberFormat="1"/>
    <xf numFmtId="0" fontId="14" fillId="0" borderId="0" xfId="0" applyFont="1" applyAlignment="1">
      <alignment horizontal="center" vertical="top"/>
    </xf>
    <xf numFmtId="1" fontId="1" fillId="0" borderId="0" xfId="0" applyNumberFormat="1" applyFont="1" applyBorder="1" applyAlignment="1" applyProtection="1">
      <alignment horizontal="center"/>
      <protection hidden="1"/>
    </xf>
    <xf numFmtId="0" fontId="2" fillId="0" borderId="0" xfId="0" applyNumberFormat="1" applyFont="1" applyBorder="1" applyAlignment="1" applyProtection="1">
      <alignment horizontal="center"/>
      <protection hidden="1"/>
    </xf>
    <xf numFmtId="0" fontId="2" fillId="0" borderId="2" xfId="0" applyFont="1" applyBorder="1" applyProtection="1">
      <protection hidden="1"/>
    </xf>
    <xf numFmtId="0" fontId="1" fillId="0" borderId="0" xfId="0" applyFont="1" applyFill="1" applyAlignment="1" applyProtection="1">
      <alignment horizontal="right"/>
      <protection hidden="1"/>
    </xf>
    <xf numFmtId="2" fontId="1" fillId="2" borderId="1" xfId="0" applyNumberFormat="1" applyFont="1" applyFill="1" applyBorder="1" applyProtection="1">
      <protection hidden="1"/>
    </xf>
    <xf numFmtId="0" fontId="1" fillId="2" borderId="3" xfId="0" applyFont="1" applyFill="1" applyBorder="1" applyProtection="1">
      <protection hidden="1"/>
    </xf>
    <xf numFmtId="0" fontId="13" fillId="2" borderId="8" xfId="1" applyFont="1" applyFill="1" applyBorder="1" applyAlignment="1" applyProtection="1">
      <protection hidden="1"/>
    </xf>
    <xf numFmtId="0" fontId="6" fillId="3" borderId="2" xfId="0" applyFont="1" applyFill="1" applyBorder="1" applyAlignment="1" applyProtection="1">
      <alignment horizontal="center"/>
      <protection locked="0" hidden="1"/>
    </xf>
    <xf numFmtId="1" fontId="2" fillId="3" borderId="9" xfId="0" applyNumberFormat="1" applyFont="1" applyFill="1" applyBorder="1" applyAlignment="1" applyProtection="1">
      <alignment horizontal="center"/>
      <protection locked="0"/>
    </xf>
    <xf numFmtId="1" fontId="2" fillId="3" borderId="3" xfId="0" applyNumberFormat="1" applyFont="1" applyFill="1" applyBorder="1" applyAlignment="1" applyProtection="1">
      <alignment horizontal="center"/>
      <protection locked="0"/>
    </xf>
    <xf numFmtId="0" fontId="2" fillId="0" borderId="0" xfId="0" applyFont="1" applyFill="1" applyAlignment="1" applyProtection="1">
      <alignment horizontal="right"/>
      <protection hidden="1"/>
    </xf>
    <xf numFmtId="0" fontId="2" fillId="3" borderId="0" xfId="0" applyFont="1" applyFill="1" applyBorder="1" applyProtection="1">
      <protection locked="0"/>
    </xf>
    <xf numFmtId="0" fontId="0" fillId="2" borderId="1" xfId="0" applyFill="1" applyBorder="1" applyAlignment="1">
      <alignment horizontal="right"/>
    </xf>
    <xf numFmtId="0" fontId="0" fillId="3" borderId="0" xfId="0" applyFill="1" applyBorder="1" applyProtection="1">
      <protection locked="0"/>
    </xf>
    <xf numFmtId="164" fontId="1" fillId="4" borderId="0" xfId="0" applyNumberFormat="1" applyFont="1" applyFill="1" applyBorder="1"/>
    <xf numFmtId="0" fontId="0" fillId="2" borderId="2" xfId="0" applyFill="1" applyBorder="1"/>
    <xf numFmtId="0" fontId="0" fillId="2" borderId="4" xfId="0" applyFill="1" applyBorder="1"/>
    <xf numFmtId="0" fontId="0" fillId="2" borderId="3" xfId="0" applyFill="1" applyBorder="1" applyAlignment="1">
      <alignment horizontal="right"/>
    </xf>
    <xf numFmtId="0" fontId="0" fillId="3" borderId="7" xfId="0" applyFill="1" applyBorder="1" applyProtection="1">
      <protection locked="0"/>
    </xf>
    <xf numFmtId="2" fontId="1" fillId="4" borderId="7" xfId="0" applyNumberFormat="1" applyFont="1" applyFill="1" applyBorder="1"/>
    <xf numFmtId="164" fontId="2" fillId="4" borderId="0" xfId="0" applyNumberFormat="1" applyFont="1" applyFill="1" applyBorder="1" applyAlignment="1">
      <alignment horizontal="left"/>
    </xf>
    <xf numFmtId="164" fontId="2" fillId="4" borderId="7" xfId="0" applyNumberFormat="1" applyFont="1" applyFill="1" applyBorder="1" applyAlignment="1">
      <alignment horizontal="left"/>
    </xf>
    <xf numFmtId="0" fontId="11" fillId="4" borderId="1" xfId="0" applyFont="1" applyFill="1" applyBorder="1" applyAlignment="1" applyProtection="1">
      <alignment horizontal="right"/>
      <protection hidden="1"/>
    </xf>
    <xf numFmtId="0" fontId="5" fillId="4" borderId="1" xfId="0" applyFont="1" applyFill="1" applyBorder="1" applyAlignment="1" applyProtection="1">
      <alignment horizontal="right"/>
      <protection hidden="1"/>
    </xf>
    <xf numFmtId="0" fontId="1" fillId="0" borderId="0" xfId="0" applyFont="1" applyAlignment="1">
      <alignment horizontal="left" vertical="top" wrapText="1" indent="1"/>
    </xf>
    <xf numFmtId="0" fontId="0" fillId="0" borderId="0" xfId="0" applyAlignment="1">
      <alignment horizontal="left" indent="1"/>
    </xf>
    <xf numFmtId="0" fontId="10" fillId="0" borderId="0" xfId="0" applyFont="1" applyAlignment="1">
      <alignment horizontal="left" indent="2"/>
    </xf>
    <xf numFmtId="0" fontId="3" fillId="0" borderId="0" xfId="1" applyAlignment="1" applyProtection="1">
      <alignment horizontal="left" indent="2"/>
    </xf>
    <xf numFmtId="2" fontId="0" fillId="0" borderId="2" xfId="0" applyNumberFormat="1" applyBorder="1"/>
    <xf numFmtId="2" fontId="0" fillId="0" borderId="4" xfId="0" applyNumberFormat="1" applyBorder="1"/>
    <xf numFmtId="2" fontId="1" fillId="0" borderId="0" xfId="0" applyNumberFormat="1" applyFont="1" applyBorder="1" applyAlignment="1" applyProtection="1">
      <alignment horizontal="center"/>
      <protection hidden="1"/>
    </xf>
    <xf numFmtId="0" fontId="2" fillId="0" borderId="1" xfId="0" applyFont="1" applyBorder="1" applyAlignment="1" applyProtection="1">
      <alignment horizontal="right"/>
      <protection hidden="1"/>
    </xf>
    <xf numFmtId="0" fontId="0" fillId="0" borderId="0" xfId="0" applyAlignment="1">
      <alignment horizontal="right"/>
    </xf>
    <xf numFmtId="0" fontId="2" fillId="0" borderId="3" xfId="0" applyFont="1" applyBorder="1" applyProtection="1">
      <protection hidden="1"/>
    </xf>
    <xf numFmtId="0" fontId="2" fillId="0" borderId="7" xfId="0" applyFont="1" applyBorder="1" applyProtection="1">
      <protection hidden="1"/>
    </xf>
    <xf numFmtId="0" fontId="6" fillId="0" borderId="0" xfId="0" applyFont="1" applyProtection="1">
      <protection hidden="1"/>
    </xf>
    <xf numFmtId="0" fontId="2" fillId="0" borderId="0" xfId="0" applyFont="1" applyFill="1" applyBorder="1" applyProtection="1"/>
    <xf numFmtId="0" fontId="21" fillId="0" borderId="0" xfId="0" applyFont="1" applyAlignment="1" applyProtection="1">
      <alignment horizontal="right"/>
      <protection hidden="1"/>
    </xf>
    <xf numFmtId="0" fontId="17" fillId="2" borderId="0" xfId="0" applyFont="1" applyFill="1" applyProtection="1">
      <protection hidden="1"/>
    </xf>
    <xf numFmtId="0" fontId="18" fillId="2" borderId="5" xfId="0" applyFont="1" applyFill="1" applyBorder="1" applyProtection="1">
      <protection hidden="1"/>
    </xf>
    <xf numFmtId="0" fontId="18" fillId="2" borderId="10" xfId="0" applyFont="1" applyFill="1" applyBorder="1" applyProtection="1">
      <protection hidden="1"/>
    </xf>
    <xf numFmtId="0" fontId="18" fillId="2" borderId="6" xfId="0" applyFont="1" applyFill="1" applyBorder="1" applyProtection="1">
      <protection hidden="1"/>
    </xf>
    <xf numFmtId="0" fontId="2" fillId="0" borderId="0" xfId="1" applyFont="1" applyAlignment="1" applyProtection="1">
      <alignment horizontal="left" vertical="top" wrapText="1"/>
    </xf>
    <xf numFmtId="0" fontId="17" fillId="2" borderId="5" xfId="0" applyFont="1" applyFill="1" applyBorder="1" applyProtection="1">
      <protection hidden="1"/>
    </xf>
    <xf numFmtId="0" fontId="17" fillId="2" borderId="6" xfId="0" applyFont="1" applyFill="1" applyBorder="1" applyProtection="1">
      <protection hidden="1"/>
    </xf>
    <xf numFmtId="0" fontId="6" fillId="0" borderId="2" xfId="0" applyFont="1" applyBorder="1" applyProtection="1">
      <protection hidden="1"/>
    </xf>
    <xf numFmtId="0" fontId="9" fillId="0" borderId="0" xfId="0" applyFont="1"/>
    <xf numFmtId="168" fontId="2" fillId="0" borderId="0" xfId="0" applyNumberFormat="1" applyFont="1" applyProtection="1">
      <protection hidden="1"/>
    </xf>
    <xf numFmtId="1" fontId="2" fillId="3" borderId="7"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hidden="1"/>
    </xf>
    <xf numFmtId="0" fontId="1" fillId="0" borderId="0" xfId="0" applyFont="1" applyProtection="1">
      <protection hidden="1"/>
    </xf>
    <xf numFmtId="2" fontId="2" fillId="0" borderId="6" xfId="0" applyNumberFormat="1" applyFont="1" applyBorder="1" applyAlignment="1" applyProtection="1">
      <alignment horizontal="center"/>
      <protection hidden="1"/>
    </xf>
    <xf numFmtId="169" fontId="2" fillId="3" borderId="5" xfId="0" applyNumberFormat="1" applyFont="1" applyFill="1" applyBorder="1" applyAlignment="1" applyProtection="1">
      <alignment horizontal="center"/>
      <protection locked="0"/>
    </xf>
    <xf numFmtId="1" fontId="2" fillId="0" borderId="0" xfId="0" applyNumberFormat="1" applyFont="1" applyProtection="1">
      <protection hidden="1"/>
    </xf>
    <xf numFmtId="1" fontId="2" fillId="0" borderId="7" xfId="0" applyNumberFormat="1" applyFont="1" applyBorder="1" applyAlignment="1" applyProtection="1">
      <alignment horizontal="center"/>
      <protection hidden="1"/>
    </xf>
    <xf numFmtId="0" fontId="1" fillId="5" borderId="7" xfId="0" applyNumberFormat="1" applyFont="1" applyFill="1" applyBorder="1" applyAlignment="1" applyProtection="1">
      <alignment horizontal="center"/>
      <protection hidden="1"/>
    </xf>
    <xf numFmtId="0" fontId="0" fillId="0" borderId="0" xfId="0" applyAlignment="1">
      <alignment vertical="top" wrapText="1"/>
    </xf>
    <xf numFmtId="0" fontId="2" fillId="0" borderId="0" xfId="0" applyFont="1" applyAlignment="1">
      <alignment vertical="top" wrapText="1"/>
    </xf>
    <xf numFmtId="0" fontId="3" fillId="0" borderId="0" xfId="1" applyFont="1" applyAlignment="1" applyProtection="1">
      <alignment horizontal="left" indent="2"/>
    </xf>
    <xf numFmtId="0" fontId="9" fillId="0" borderId="0" xfId="0" applyFont="1" applyAlignment="1">
      <alignment horizontal="left" indent="1"/>
    </xf>
    <xf numFmtId="0" fontId="26" fillId="0" borderId="0" xfId="0" applyFont="1" applyAlignment="1">
      <alignment vertical="top" wrapText="1"/>
    </xf>
    <xf numFmtId="0" fontId="9" fillId="2" borderId="0" xfId="0" applyFont="1" applyFill="1" applyBorder="1" applyProtection="1">
      <protection hidden="1"/>
    </xf>
    <xf numFmtId="0" fontId="29" fillId="2" borderId="0" xfId="0" applyFont="1" applyFill="1" applyBorder="1" applyProtection="1">
      <protection hidden="1"/>
    </xf>
    <xf numFmtId="0" fontId="9" fillId="0" borderId="0" xfId="0" applyFont="1" applyFill="1" applyBorder="1" applyProtection="1">
      <protection hidden="1"/>
    </xf>
    <xf numFmtId="164" fontId="31" fillId="0" borderId="0" xfId="0" applyNumberFormat="1" applyFont="1" applyProtection="1">
      <protection hidden="1"/>
    </xf>
    <xf numFmtId="10" fontId="31" fillId="0" borderId="0" xfId="0" applyNumberFormat="1" applyFont="1" applyProtection="1">
      <protection hidden="1"/>
    </xf>
    <xf numFmtId="2" fontId="31" fillId="0" borderId="0" xfId="0" applyNumberFormat="1" applyFont="1" applyProtection="1">
      <protection hidden="1"/>
    </xf>
    <xf numFmtId="0" fontId="0" fillId="3" borderId="0" xfId="0" applyFill="1" applyAlignment="1"/>
    <xf numFmtId="0" fontId="0" fillId="0" borderId="0" xfId="0" applyAlignment="1">
      <alignment wrapText="1"/>
    </xf>
    <xf numFmtId="2" fontId="23" fillId="0" borderId="0" xfId="1" applyNumberFormat="1" applyFont="1" applyAlignment="1" applyProtection="1">
      <alignment horizontal="left"/>
      <protection hidden="1"/>
    </xf>
    <xf numFmtId="0" fontId="10" fillId="3" borderId="0" xfId="0" applyFont="1" applyFill="1" applyProtection="1">
      <protection locked="0" hidden="1"/>
    </xf>
    <xf numFmtId="0" fontId="2" fillId="3" borderId="0" xfId="0" applyFont="1" applyFill="1" applyProtection="1">
      <protection hidden="1"/>
    </xf>
    <xf numFmtId="0" fontId="32" fillId="3" borderId="2" xfId="0" applyFont="1" applyFill="1" applyBorder="1" applyAlignment="1" applyProtection="1">
      <alignment horizontal="left" vertical="center"/>
      <protection locked="0" hidden="1"/>
    </xf>
    <xf numFmtId="0" fontId="2" fillId="0" borderId="0" xfId="0" applyFont="1" applyFill="1" applyProtection="1">
      <protection hidden="1"/>
    </xf>
    <xf numFmtId="0" fontId="1" fillId="0" borderId="0" xfId="0" applyFont="1" applyAlignment="1">
      <alignment vertical="top" wrapText="1"/>
    </xf>
    <xf numFmtId="0" fontId="2" fillId="0" borderId="0" xfId="0" applyNumberFormat="1" applyFont="1" applyFill="1" applyBorder="1" applyAlignment="1" applyProtection="1">
      <alignment horizontal="center"/>
      <protection hidden="1"/>
    </xf>
    <xf numFmtId="0" fontId="2" fillId="6" borderId="0" xfId="0" applyFont="1" applyFill="1" applyBorder="1" applyAlignment="1" applyProtection="1">
      <alignment horizontal="center"/>
      <protection hidden="1"/>
    </xf>
    <xf numFmtId="164" fontId="2" fillId="0" borderId="2" xfId="0" applyNumberFormat="1" applyFont="1" applyBorder="1"/>
    <xf numFmtId="164" fontId="33" fillId="0" borderId="1" xfId="0" applyNumberFormat="1" applyFont="1" applyBorder="1"/>
    <xf numFmtId="164" fontId="33" fillId="0" borderId="2" xfId="0" applyNumberFormat="1" applyFont="1" applyBorder="1"/>
    <xf numFmtId="2" fontId="33" fillId="0" borderId="0" xfId="0" applyNumberFormat="1" applyFont="1" applyProtection="1">
      <protection hidden="1"/>
    </xf>
    <xf numFmtId="2" fontId="2" fillId="0" borderId="3" xfId="0" applyNumberFormat="1" applyFont="1" applyBorder="1" applyProtection="1">
      <protection hidden="1"/>
    </xf>
    <xf numFmtId="2" fontId="34" fillId="0" borderId="0" xfId="0" applyNumberFormat="1" applyFont="1" applyProtection="1">
      <protection hidden="1"/>
    </xf>
    <xf numFmtId="168" fontId="34" fillId="0" borderId="0" xfId="0" applyNumberFormat="1" applyFont="1" applyProtection="1">
      <protection hidden="1"/>
    </xf>
    <xf numFmtId="164" fontId="0" fillId="3" borderId="2" xfId="0" applyNumberFormat="1" applyFill="1" applyBorder="1"/>
    <xf numFmtId="164" fontId="0" fillId="3" borderId="4" xfId="0" applyNumberFormat="1" applyFill="1" applyBorder="1"/>
    <xf numFmtId="0" fontId="0" fillId="0" borderId="0" xfId="0"/>
    <xf numFmtId="0" fontId="1" fillId="0" borderId="0" xfId="0" applyFont="1" applyBorder="1" applyAlignment="1" applyProtection="1">
      <alignment horizontal="center"/>
      <protection hidden="1"/>
    </xf>
    <xf numFmtId="0" fontId="2" fillId="0" borderId="0" xfId="0" applyFont="1"/>
    <xf numFmtId="0" fontId="1" fillId="2" borderId="1" xfId="0" applyFont="1" applyFill="1" applyBorder="1" applyProtection="1">
      <protection hidden="1"/>
    </xf>
    <xf numFmtId="0" fontId="0" fillId="0" borderId="0" xfId="0"/>
    <xf numFmtId="0" fontId="0" fillId="0" borderId="0" xfId="0" applyAlignment="1">
      <alignment vertical="distributed"/>
    </xf>
    <xf numFmtId="2" fontId="16" fillId="0" borderId="0" xfId="0" applyNumberFormat="1" applyFont="1" applyAlignment="1" applyProtection="1">
      <alignment vertical="distributed" wrapText="1"/>
      <protection hidden="1"/>
    </xf>
    <xf numFmtId="1" fontId="2" fillId="0" borderId="0" xfId="0" applyNumberFormat="1" applyFont="1" applyAlignment="1" applyProtection="1">
      <alignment vertical="distributed" wrapText="1"/>
      <protection hidden="1"/>
    </xf>
    <xf numFmtId="0" fontId="2" fillId="0" borderId="0" xfId="0" quotePrefix="1" applyFont="1" applyProtection="1">
      <protection hidden="1"/>
    </xf>
    <xf numFmtId="0" fontId="4" fillId="0" borderId="5" xfId="0" applyFont="1" applyBorder="1" applyAlignment="1" applyProtection="1">
      <alignment horizontal="left" vertical="top"/>
      <protection hidden="1"/>
    </xf>
    <xf numFmtId="0" fontId="0" fillId="0" borderId="10" xfId="0" applyBorder="1" applyAlignment="1" applyProtection="1">
      <alignment horizontal="left" vertical="top"/>
      <protection hidden="1"/>
    </xf>
    <xf numFmtId="0" fontId="0" fillId="0" borderId="6" xfId="0" applyBorder="1" applyAlignment="1" applyProtection="1">
      <alignment horizontal="left" vertical="top"/>
      <protection hidden="1"/>
    </xf>
    <xf numFmtId="0" fontId="12" fillId="5" borderId="11" xfId="0" applyFont="1" applyFill="1" applyBorder="1" applyAlignment="1" applyProtection="1">
      <alignment horizontal="center" vertical="center" wrapText="1"/>
      <protection hidden="1"/>
    </xf>
    <xf numFmtId="0" fontId="12" fillId="5" borderId="12"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4" borderId="5" xfId="0" applyFont="1" applyFill="1" applyBorder="1" applyAlignment="1" applyProtection="1">
      <alignment horizontal="center"/>
      <protection hidden="1"/>
    </xf>
    <xf numFmtId="0" fontId="9" fillId="4" borderId="6" xfId="0" applyFont="1" applyFill="1" applyBorder="1" applyAlignment="1">
      <alignment horizontal="center"/>
    </xf>
    <xf numFmtId="166" fontId="1" fillId="0" borderId="0" xfId="0" applyNumberFormat="1" applyFont="1" applyAlignment="1" applyProtection="1">
      <protection hidden="1"/>
    </xf>
    <xf numFmtId="0" fontId="0" fillId="0" borderId="0" xfId="0" applyAlignment="1"/>
    <xf numFmtId="0" fontId="1" fillId="7" borderId="13" xfId="0" applyFont="1" applyFill="1" applyBorder="1" applyAlignment="1" applyProtection="1">
      <alignment horizontal="center" vertical="center" wrapText="1"/>
      <protection hidden="1"/>
    </xf>
    <xf numFmtId="0" fontId="1" fillId="7" borderId="14" xfId="0" applyFont="1" applyFill="1" applyBorder="1" applyAlignment="1" applyProtection="1">
      <alignment horizontal="center" vertical="center"/>
      <protection hidden="1"/>
    </xf>
    <xf numFmtId="0" fontId="0" fillId="7" borderId="14" xfId="0" applyFill="1" applyBorder="1" applyAlignment="1">
      <alignment horizontal="center"/>
    </xf>
    <xf numFmtId="0" fontId="0" fillId="7" borderId="9" xfId="0" applyFill="1" applyBorder="1" applyAlignment="1">
      <alignment horizontal="center"/>
    </xf>
    <xf numFmtId="0" fontId="1" fillId="0" borderId="0" xfId="0" applyFont="1" applyFill="1" applyAlignment="1" applyProtection="1">
      <alignment horizontal="right"/>
      <protection hidden="1"/>
    </xf>
    <xf numFmtId="0" fontId="0" fillId="0" borderId="0" xfId="0" applyAlignment="1">
      <alignment horizontal="right"/>
    </xf>
    <xf numFmtId="0" fontId="1" fillId="3" borderId="0" xfId="0" applyFont="1" applyFill="1" applyAlignment="1" applyProtection="1">
      <alignment horizontal="center"/>
      <protection locked="0"/>
    </xf>
    <xf numFmtId="2" fontId="16" fillId="8" borderId="1" xfId="0" applyNumberFormat="1" applyFont="1" applyFill="1" applyBorder="1" applyAlignment="1" applyProtection="1">
      <alignment horizontal="center" vertical="center" wrapText="1"/>
      <protection hidden="1"/>
    </xf>
    <xf numFmtId="0" fontId="16" fillId="8" borderId="1" xfId="0" applyFont="1" applyFill="1" applyBorder="1" applyAlignment="1">
      <alignment vertical="center"/>
    </xf>
    <xf numFmtId="0" fontId="30" fillId="0" borderId="0" xfId="0" applyFont="1" applyAlignment="1" applyProtection="1">
      <alignment vertical="top" wrapText="1"/>
      <protection hidden="1"/>
    </xf>
    <xf numFmtId="0" fontId="2" fillId="0" borderId="0" xfId="0" applyFont="1" applyAlignment="1" applyProtection="1">
      <protection hidden="1"/>
    </xf>
    <xf numFmtId="166" fontId="1" fillId="0" borderId="7" xfId="0" quotePrefix="1" applyNumberFormat="1" applyFont="1" applyBorder="1" applyAlignment="1" applyProtection="1">
      <protection hidden="1"/>
    </xf>
    <xf numFmtId="0" fontId="0" fillId="0" borderId="7" xfId="0" applyBorder="1" applyAlignment="1"/>
    <xf numFmtId="0" fontId="25" fillId="0" borderId="0" xfId="0" applyFont="1" applyAlignment="1" applyProtection="1">
      <alignment horizontal="center"/>
      <protection hidden="1"/>
    </xf>
    <xf numFmtId="0" fontId="4" fillId="0" borderId="5" xfId="0" applyFont="1" applyBorder="1" applyAlignment="1" applyProtection="1">
      <alignment horizontal="left"/>
      <protection hidden="1"/>
    </xf>
    <xf numFmtId="0" fontId="0" fillId="0" borderId="10" xfId="0" applyBorder="1" applyAlignment="1" applyProtection="1">
      <protection hidden="1"/>
    </xf>
    <xf numFmtId="0" fontId="0" fillId="0" borderId="6" xfId="0" applyBorder="1" applyAlignment="1" applyProtection="1">
      <protection hidden="1"/>
    </xf>
    <xf numFmtId="0" fontId="5" fillId="0" borderId="0" xfId="0" applyFont="1" applyAlignment="1" applyProtection="1">
      <alignment horizontal="left"/>
      <protection hidden="1"/>
    </xf>
    <xf numFmtId="0" fontId="24" fillId="0" borderId="0" xfId="0" applyFont="1" applyAlignment="1" applyProtection="1">
      <alignment horizontal="distributed"/>
      <protection hidden="1"/>
    </xf>
    <xf numFmtId="0" fontId="2" fillId="3" borderId="0" xfId="0" applyFont="1" applyFill="1" applyBorder="1" applyAlignment="1" applyProtection="1">
      <alignment horizontal="right"/>
      <protection locked="0"/>
    </xf>
    <xf numFmtId="0" fontId="0" fillId="0" borderId="0" xfId="0"/>
    <xf numFmtId="0" fontId="1" fillId="0" borderId="15" xfId="0" applyFont="1" applyBorder="1" applyAlignment="1" applyProtection="1">
      <alignment horizontal="right"/>
      <protection hidden="1"/>
    </xf>
    <xf numFmtId="0" fontId="0" fillId="0" borderId="15" xfId="0" applyBorder="1" applyAlignment="1"/>
    <xf numFmtId="2" fontId="16" fillId="0" borderId="0" xfId="0" applyNumberFormat="1" applyFont="1" applyAlignment="1" applyProtection="1">
      <alignment horizontal="center" vertical="distributed" wrapText="1"/>
      <protection hidden="1"/>
    </xf>
    <xf numFmtId="0" fontId="0" fillId="0" borderId="0" xfId="0" applyAlignment="1">
      <alignment vertical="distributed"/>
    </xf>
    <xf numFmtId="0" fontId="6" fillId="0" borderId="0" xfId="0" applyFont="1" applyAlignment="1" applyProtection="1">
      <protection hidden="1"/>
    </xf>
    <xf numFmtId="0" fontId="30" fillId="0" borderId="0" xfId="0" applyFont="1" applyFill="1" applyAlignment="1" applyProtection="1">
      <protection hidden="1"/>
    </xf>
    <xf numFmtId="0" fontId="10" fillId="2" borderId="5" xfId="0" applyFont="1" applyFill="1" applyBorder="1" applyAlignment="1">
      <alignment vertical="center"/>
    </xf>
    <xf numFmtId="0" fontId="0" fillId="0" borderId="10" xfId="0" applyBorder="1" applyAlignment="1">
      <alignment vertical="center"/>
    </xf>
    <xf numFmtId="0" fontId="0" fillId="0" borderId="6" xfId="0" applyBorder="1" applyAlignment="1">
      <alignment vertical="center"/>
    </xf>
    <xf numFmtId="2" fontId="2" fillId="2" borderId="0" xfId="0" applyNumberFormat="1" applyFont="1" applyFill="1" applyBorder="1" applyAlignment="1" applyProtection="1">
      <protection hidden="1"/>
    </xf>
    <xf numFmtId="0" fontId="0" fillId="2" borderId="0" xfId="0" applyFill="1" applyBorder="1" applyAlignment="1"/>
    <xf numFmtId="0" fontId="0" fillId="2" borderId="2" xfId="0" applyFill="1" applyBorder="1" applyAlignment="1"/>
    <xf numFmtId="0" fontId="2" fillId="2" borderId="0" xfId="0" applyFont="1" applyFill="1" applyBorder="1" applyAlignment="1" applyProtection="1">
      <protection hidden="1"/>
    </xf>
    <xf numFmtId="2" fontId="10" fillId="2" borderId="5" xfId="0" applyNumberFormat="1" applyFont="1" applyFill="1" applyBorder="1" applyAlignment="1" applyProtection="1">
      <alignment vertical="center"/>
      <protection hidden="1"/>
    </xf>
    <xf numFmtId="0" fontId="0" fillId="2" borderId="10" xfId="0" applyFill="1" applyBorder="1" applyAlignment="1">
      <alignment vertical="center"/>
    </xf>
    <xf numFmtId="0" fontId="0" fillId="2" borderId="6" xfId="0" applyFill="1" applyBorder="1" applyAlignment="1">
      <alignment vertical="center"/>
    </xf>
    <xf numFmtId="0" fontId="2" fillId="2" borderId="7" xfId="0" applyFont="1" applyFill="1" applyBorder="1" applyAlignment="1" applyProtection="1">
      <protection hidden="1"/>
    </xf>
    <xf numFmtId="0" fontId="0" fillId="2" borderId="7" xfId="0" applyFill="1" applyBorder="1" applyAlignment="1"/>
    <xf numFmtId="0" fontId="0" fillId="2" borderId="4" xfId="0" applyFill="1" applyBorder="1" applyAlignment="1"/>
    <xf numFmtId="166" fontId="1" fillId="0" borderId="15" xfId="0" applyNumberFormat="1" applyFont="1" applyBorder="1" applyAlignment="1" applyProtection="1">
      <protection hidden="1"/>
    </xf>
    <xf numFmtId="0" fontId="0" fillId="0" borderId="12"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10" xfId="0" applyBorder="1" applyAlignment="1"/>
    <xf numFmtId="0" fontId="0" fillId="0" borderId="6" xfId="0" applyBorder="1" applyAlignment="1"/>
    <xf numFmtId="0" fontId="2" fillId="6" borderId="0" xfId="0" applyFont="1" applyFill="1" applyBorder="1" applyAlignment="1" applyProtection="1">
      <alignment horizontal="center"/>
      <protection hidden="1"/>
    </xf>
    <xf numFmtId="0" fontId="2" fillId="0" borderId="0" xfId="0" applyFont="1" applyAlignment="1" applyProtection="1">
      <alignment horizontal="center"/>
      <protection hidden="1"/>
    </xf>
    <xf numFmtId="2" fontId="2" fillId="0" borderId="0" xfId="0" applyNumberFormat="1" applyFont="1" applyAlignment="1" applyProtection="1">
      <protection hidden="1"/>
    </xf>
    <xf numFmtId="0" fontId="1" fillId="0" borderId="0" xfId="0" applyFont="1" applyAlignment="1" applyProtection="1">
      <alignment horizontal="center"/>
      <protection hidden="1"/>
    </xf>
    <xf numFmtId="0" fontId="1" fillId="0" borderId="7" xfId="0" applyFont="1" applyBorder="1" applyAlignment="1" applyProtection="1">
      <alignment horizontal="center"/>
      <protection hidden="1"/>
    </xf>
    <xf numFmtId="0" fontId="1" fillId="0" borderId="0" xfId="0" applyFont="1" applyBorder="1" applyAlignment="1" applyProtection="1">
      <alignment horizontal="center"/>
      <protection hidden="1"/>
    </xf>
    <xf numFmtId="2" fontId="10" fillId="0" borderId="0" xfId="0" applyNumberFormat="1" applyFont="1" applyAlignment="1" applyProtection="1">
      <alignment horizontal="center"/>
      <protection hidden="1"/>
    </xf>
  </cellXfs>
  <cellStyles count="3">
    <cellStyle name="Hyperlink" xfId="1" builtinId="8"/>
    <cellStyle name="Normal" xfId="0" builtinId="0"/>
    <cellStyle name="Normal 2" xfId="2"/>
  </cellStyles>
  <dxfs count="31">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ill>
        <patternFill>
          <bgColor rgb="FFFFC000"/>
        </patternFill>
      </fill>
    </dxf>
    <dxf>
      <font>
        <condense val="0"/>
        <extend val="0"/>
        <color indexed="22"/>
      </font>
    </dxf>
    <dxf>
      <font>
        <condense val="0"/>
        <extend val="0"/>
      </font>
      <fill>
        <patternFill>
          <bgColor indexed="10"/>
        </patternFill>
      </fill>
    </dxf>
    <dxf>
      <font>
        <b val="0"/>
        <i val="0"/>
        <condense val="0"/>
        <extend val="0"/>
        <color indexed="55"/>
      </font>
      <fill>
        <patternFill patternType="solid">
          <fgColor indexed="64"/>
          <bgColor indexed="22"/>
        </patternFill>
      </fill>
    </dxf>
    <dxf>
      <font>
        <condense val="0"/>
        <extend val="0"/>
      </font>
      <fill>
        <patternFill>
          <bgColor indexed="10"/>
        </patternFill>
      </fill>
    </dxf>
    <dxf>
      <font>
        <b val="0"/>
        <i val="0"/>
        <condense val="0"/>
        <extend val="0"/>
        <color indexed="55"/>
      </font>
      <fill>
        <patternFill patternType="solid">
          <fgColor indexed="64"/>
          <bgColor indexed="22"/>
        </patternFill>
      </fill>
    </dxf>
    <dxf>
      <font>
        <condense val="0"/>
        <extend val="0"/>
      </font>
      <fill>
        <patternFill>
          <bgColor indexed="10"/>
        </patternFill>
      </fill>
    </dxf>
    <dxf>
      <font>
        <b val="0"/>
        <i val="0"/>
        <condense val="0"/>
        <extend val="0"/>
        <color indexed="55"/>
      </font>
      <fill>
        <patternFill patternType="solid">
          <fgColor indexed="64"/>
          <bgColor indexed="22"/>
        </patternFill>
      </fill>
    </dxf>
    <dxf>
      <font>
        <b/>
        <i val="0"/>
        <condense val="0"/>
        <extend val="0"/>
        <color indexed="16"/>
      </font>
      <fill>
        <patternFill>
          <bgColor indexed="13"/>
        </patternFill>
      </fill>
    </dxf>
    <dxf>
      <font>
        <condense val="0"/>
        <extend val="0"/>
        <color indexed="22"/>
      </font>
      <fill>
        <patternFill patternType="none">
          <bgColor indexed="65"/>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43"/>
      </font>
    </dxf>
    <dxf>
      <font>
        <b/>
        <i val="0"/>
        <condense val="0"/>
        <extend val="0"/>
        <color indexed="13"/>
      </font>
      <fill>
        <patternFill>
          <bgColor indexed="10"/>
        </patternFill>
      </fill>
    </dxf>
    <dxf>
      <font>
        <condense val="0"/>
        <extend val="0"/>
        <color indexed="22"/>
      </font>
    </dxf>
    <dxf>
      <font>
        <condense val="0"/>
        <extend val="0"/>
        <color indexed="22"/>
      </font>
    </dxf>
    <dxf>
      <font>
        <condense val="0"/>
        <extend val="0"/>
      </font>
      <fill>
        <patternFill>
          <bgColor indexed="10"/>
        </patternFill>
      </fill>
    </dxf>
    <dxf>
      <font>
        <b val="0"/>
        <i val="0"/>
        <condense val="0"/>
        <extend val="0"/>
        <color indexed="55"/>
      </font>
      <fill>
        <patternFill patternType="solid">
          <fgColor indexed="64"/>
          <bgColor indexed="22"/>
        </patternFill>
      </fill>
    </dxf>
    <dxf>
      <font>
        <condense val="0"/>
        <extend val="0"/>
      </font>
      <fill>
        <patternFill>
          <bgColor indexed="10"/>
        </patternFill>
      </fill>
    </dxf>
    <dxf>
      <font>
        <b val="0"/>
        <i val="0"/>
        <condense val="0"/>
        <extend val="0"/>
        <color indexed="55"/>
      </font>
      <fill>
        <patternFill patternType="solid">
          <fgColor indexed="64"/>
          <bgColor indexed="22"/>
        </patternFill>
      </fill>
    </dxf>
    <dxf>
      <font>
        <condense val="0"/>
        <extend val="0"/>
      </font>
      <fill>
        <patternFill>
          <bgColor indexed="10"/>
        </patternFill>
      </fill>
    </dxf>
    <dxf>
      <font>
        <b val="0"/>
        <i val="0"/>
        <condense val="0"/>
        <extend val="0"/>
        <color indexed="55"/>
      </font>
      <fill>
        <patternFill patternType="solid">
          <fgColor indexed="64"/>
          <bgColor indexed="22"/>
        </patternFill>
      </fill>
    </dxf>
    <dxf>
      <fill>
        <patternFill patternType="solid">
          <fgColor indexed="64"/>
          <bgColor indexed="10"/>
        </patternFill>
      </fill>
    </dxf>
    <dxf>
      <fill>
        <patternFill patternType="solid">
          <fgColor indexed="64"/>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4848"/>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E46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ARC-2e Maximum Current Consumption vs. Input Voltage</a:t>
            </a:r>
          </a:p>
        </c:rich>
      </c:tx>
      <c:layout>
        <c:manualLayout>
          <c:xMode val="edge"/>
          <c:yMode val="edge"/>
          <c:x val="0.20609579100145137"/>
          <c:y val="2.7597402597402596E-2"/>
        </c:manualLayout>
      </c:layout>
      <c:overlay val="0"/>
      <c:spPr>
        <a:noFill/>
        <a:ln w="25400">
          <a:noFill/>
        </a:ln>
      </c:spPr>
    </c:title>
    <c:autoTitleDeleted val="0"/>
    <c:plotArea>
      <c:layout>
        <c:manualLayout>
          <c:layoutTarget val="inner"/>
          <c:xMode val="edge"/>
          <c:yMode val="edge"/>
          <c:x val="8.7082728592162553E-2"/>
          <c:y val="0.11688320953227217"/>
          <c:w val="0.87227866473149496"/>
          <c:h val="0.7889616643428371"/>
        </c:manualLayout>
      </c:layout>
      <c:scatterChart>
        <c:scatterStyle val="lineMarker"/>
        <c:varyColors val="0"/>
        <c:ser>
          <c:idx val="0"/>
          <c:order val="0"/>
          <c:tx>
            <c:v>Measured</c:v>
          </c:tx>
          <c:spPr>
            <a:ln w="12700">
              <a:solidFill>
                <a:srgbClr val="000080"/>
              </a:solidFill>
              <a:prstDash val="solid"/>
            </a:ln>
          </c:spPr>
          <c:marker>
            <c:symbol val="diamond"/>
            <c:size val="6"/>
            <c:spPr>
              <a:solidFill>
                <a:srgbClr val="000080"/>
              </a:solidFill>
              <a:ln>
                <a:solidFill>
                  <a:srgbClr val="000080"/>
                </a:solidFill>
                <a:prstDash val="solid"/>
              </a:ln>
            </c:spPr>
          </c:marker>
          <c:xVal>
            <c:numRef>
              <c:f>'ARC-2e V-I Curve'!$L$3:$L$34</c:f>
              <c:numCache>
                <c:formatCode>0.0</c:formatCode>
                <c:ptCount val="32"/>
                <c:pt idx="0">
                  <c:v>5.6</c:v>
                </c:pt>
                <c:pt idx="1">
                  <c:v>5.99</c:v>
                </c:pt>
                <c:pt idx="2">
                  <c:v>6.51</c:v>
                </c:pt>
                <c:pt idx="3">
                  <c:v>7</c:v>
                </c:pt>
                <c:pt idx="4">
                  <c:v>7.48</c:v>
                </c:pt>
                <c:pt idx="5">
                  <c:v>8.01</c:v>
                </c:pt>
                <c:pt idx="6">
                  <c:v>8.52</c:v>
                </c:pt>
                <c:pt idx="7">
                  <c:v>9.0299999999999994</c:v>
                </c:pt>
                <c:pt idx="8">
                  <c:v>9.5299999999999994</c:v>
                </c:pt>
                <c:pt idx="9">
                  <c:v>10.02</c:v>
                </c:pt>
                <c:pt idx="10">
                  <c:v>11.03</c:v>
                </c:pt>
                <c:pt idx="11">
                  <c:v>12</c:v>
                </c:pt>
                <c:pt idx="12">
                  <c:v>13.01</c:v>
                </c:pt>
                <c:pt idx="13">
                  <c:v>14.04</c:v>
                </c:pt>
                <c:pt idx="14">
                  <c:v>15.03</c:v>
                </c:pt>
                <c:pt idx="15">
                  <c:v>15.97</c:v>
                </c:pt>
                <c:pt idx="16">
                  <c:v>17.03</c:v>
                </c:pt>
                <c:pt idx="17">
                  <c:v>17.98</c:v>
                </c:pt>
                <c:pt idx="18">
                  <c:v>19.04</c:v>
                </c:pt>
                <c:pt idx="19">
                  <c:v>20</c:v>
                </c:pt>
                <c:pt idx="20">
                  <c:v>21.04</c:v>
                </c:pt>
                <c:pt idx="21">
                  <c:v>21.98</c:v>
                </c:pt>
                <c:pt idx="22">
                  <c:v>23.02</c:v>
                </c:pt>
                <c:pt idx="23">
                  <c:v>24.02</c:v>
                </c:pt>
                <c:pt idx="24">
                  <c:v>25.03</c:v>
                </c:pt>
                <c:pt idx="25">
                  <c:v>25.97</c:v>
                </c:pt>
                <c:pt idx="26">
                  <c:v>27.02</c:v>
                </c:pt>
                <c:pt idx="27">
                  <c:v>28.04</c:v>
                </c:pt>
                <c:pt idx="28">
                  <c:v>28.98</c:v>
                </c:pt>
                <c:pt idx="29">
                  <c:v>30.03</c:v>
                </c:pt>
                <c:pt idx="30">
                  <c:v>31.04</c:v>
                </c:pt>
                <c:pt idx="31">
                  <c:v>31.8</c:v>
                </c:pt>
              </c:numCache>
            </c:numRef>
          </c:xVal>
          <c:yVal>
            <c:numRef>
              <c:f>'ARC-2e V-I Curve'!$M$3:$M$34</c:f>
              <c:numCache>
                <c:formatCode>0.0</c:formatCode>
                <c:ptCount val="32"/>
                <c:pt idx="0">
                  <c:v>183.3</c:v>
                </c:pt>
                <c:pt idx="1">
                  <c:v>185.2</c:v>
                </c:pt>
                <c:pt idx="2">
                  <c:v>185.4</c:v>
                </c:pt>
                <c:pt idx="3">
                  <c:v>177.2</c:v>
                </c:pt>
                <c:pt idx="4">
                  <c:v>166.1</c:v>
                </c:pt>
                <c:pt idx="5">
                  <c:v>155.4</c:v>
                </c:pt>
                <c:pt idx="6">
                  <c:v>146.19999999999999</c:v>
                </c:pt>
                <c:pt idx="7">
                  <c:v>138.1</c:v>
                </c:pt>
                <c:pt idx="8">
                  <c:v>131</c:v>
                </c:pt>
                <c:pt idx="9">
                  <c:v>124.9</c:v>
                </c:pt>
                <c:pt idx="10">
                  <c:v>113.9</c:v>
                </c:pt>
                <c:pt idx="11">
                  <c:v>105.1</c:v>
                </c:pt>
                <c:pt idx="12">
                  <c:v>97.5</c:v>
                </c:pt>
                <c:pt idx="13">
                  <c:v>90.9</c:v>
                </c:pt>
                <c:pt idx="14">
                  <c:v>85.4</c:v>
                </c:pt>
                <c:pt idx="15">
                  <c:v>80.8</c:v>
                </c:pt>
                <c:pt idx="16">
                  <c:v>76.3</c:v>
                </c:pt>
                <c:pt idx="17">
                  <c:v>72.8</c:v>
                </c:pt>
                <c:pt idx="18">
                  <c:v>69.400000000000006</c:v>
                </c:pt>
                <c:pt idx="19">
                  <c:v>66.5</c:v>
                </c:pt>
                <c:pt idx="20">
                  <c:v>63.7</c:v>
                </c:pt>
                <c:pt idx="21">
                  <c:v>61.4</c:v>
                </c:pt>
                <c:pt idx="22">
                  <c:v>59.1</c:v>
                </c:pt>
                <c:pt idx="23">
                  <c:v>58.1</c:v>
                </c:pt>
                <c:pt idx="24">
                  <c:v>55.8</c:v>
                </c:pt>
                <c:pt idx="25">
                  <c:v>54.2</c:v>
                </c:pt>
                <c:pt idx="26">
                  <c:v>52.2</c:v>
                </c:pt>
                <c:pt idx="27">
                  <c:v>50.6</c:v>
                </c:pt>
                <c:pt idx="28">
                  <c:v>49.2</c:v>
                </c:pt>
                <c:pt idx="29">
                  <c:v>47.8</c:v>
                </c:pt>
                <c:pt idx="30">
                  <c:v>46.5</c:v>
                </c:pt>
                <c:pt idx="31">
                  <c:v>45.6</c:v>
                </c:pt>
              </c:numCache>
            </c:numRef>
          </c:yVal>
          <c:smooth val="0"/>
        </c:ser>
        <c:ser>
          <c:idx val="2"/>
          <c:order val="1"/>
          <c:tx>
            <c:v>Modeled</c:v>
          </c:tx>
          <c:spPr>
            <a:ln w="12700">
              <a:solidFill>
                <a:srgbClr val="FFFF00"/>
              </a:solidFill>
              <a:prstDash val="solid"/>
            </a:ln>
          </c:spPr>
          <c:marker>
            <c:symbol val="none"/>
          </c:marker>
          <c:xVal>
            <c:numRef>
              <c:f>'ARC-2e V-I Curve'!$L$3:$L$34</c:f>
              <c:numCache>
                <c:formatCode>0.0</c:formatCode>
                <c:ptCount val="32"/>
                <c:pt idx="0">
                  <c:v>5.6</c:v>
                </c:pt>
                <c:pt idx="1">
                  <c:v>5.99</c:v>
                </c:pt>
                <c:pt idx="2">
                  <c:v>6.51</c:v>
                </c:pt>
                <c:pt idx="3">
                  <c:v>7</c:v>
                </c:pt>
                <c:pt idx="4">
                  <c:v>7.48</c:v>
                </c:pt>
                <c:pt idx="5">
                  <c:v>8.01</c:v>
                </c:pt>
                <c:pt idx="6">
                  <c:v>8.52</c:v>
                </c:pt>
                <c:pt idx="7">
                  <c:v>9.0299999999999994</c:v>
                </c:pt>
                <c:pt idx="8">
                  <c:v>9.5299999999999994</c:v>
                </c:pt>
                <c:pt idx="9">
                  <c:v>10.02</c:v>
                </c:pt>
                <c:pt idx="10">
                  <c:v>11.03</c:v>
                </c:pt>
                <c:pt idx="11">
                  <c:v>12</c:v>
                </c:pt>
                <c:pt idx="12">
                  <c:v>13.01</c:v>
                </c:pt>
                <c:pt idx="13">
                  <c:v>14.04</c:v>
                </c:pt>
                <c:pt idx="14">
                  <c:v>15.03</c:v>
                </c:pt>
                <c:pt idx="15">
                  <c:v>15.97</c:v>
                </c:pt>
                <c:pt idx="16">
                  <c:v>17.03</c:v>
                </c:pt>
                <c:pt idx="17">
                  <c:v>17.98</c:v>
                </c:pt>
                <c:pt idx="18">
                  <c:v>19.04</c:v>
                </c:pt>
                <c:pt idx="19">
                  <c:v>20</c:v>
                </c:pt>
                <c:pt idx="20">
                  <c:v>21.04</c:v>
                </c:pt>
                <c:pt idx="21">
                  <c:v>21.98</c:v>
                </c:pt>
                <c:pt idx="22">
                  <c:v>23.02</c:v>
                </c:pt>
                <c:pt idx="23">
                  <c:v>24.02</c:v>
                </c:pt>
                <c:pt idx="24">
                  <c:v>25.03</c:v>
                </c:pt>
                <c:pt idx="25">
                  <c:v>25.97</c:v>
                </c:pt>
                <c:pt idx="26">
                  <c:v>27.02</c:v>
                </c:pt>
                <c:pt idx="27">
                  <c:v>28.04</c:v>
                </c:pt>
                <c:pt idx="28">
                  <c:v>28.98</c:v>
                </c:pt>
                <c:pt idx="29">
                  <c:v>30.03</c:v>
                </c:pt>
                <c:pt idx="30">
                  <c:v>31.04</c:v>
                </c:pt>
                <c:pt idx="31">
                  <c:v>31.8</c:v>
                </c:pt>
              </c:numCache>
            </c:numRef>
          </c:xVal>
          <c:yVal>
            <c:numRef>
              <c:f>'ARC-2e V-I Curve'!$O$3:$O$34</c:f>
              <c:numCache>
                <c:formatCode>0.00</c:formatCode>
                <c:ptCount val="32"/>
                <c:pt idx="0">
                  <c:v>189.33318836378874</c:v>
                </c:pt>
                <c:pt idx="1">
                  <c:v>185.15276894442411</c:v>
                </c:pt>
                <c:pt idx="2">
                  <c:v>178.61991856092072</c:v>
                </c:pt>
                <c:pt idx="3">
                  <c:v>171.75728458364904</c:v>
                </c:pt>
                <c:pt idx="4">
                  <c:v>164.62489635790257</c:v>
                </c:pt>
                <c:pt idx="5">
                  <c:v>156.52610148307792</c:v>
                </c:pt>
                <c:pt idx="6">
                  <c:v>148.71709802178134</c:v>
                </c:pt>
                <c:pt idx="7">
                  <c:v>141.05876065760299</c:v>
                </c:pt>
                <c:pt idx="8">
                  <c:v>133.82098604011037</c:v>
                </c:pt>
                <c:pt idx="9">
                  <c:v>127.07712795453995</c:v>
                </c:pt>
                <c:pt idx="10">
                  <c:v>114.51229052324959</c:v>
                </c:pt>
                <c:pt idx="11">
                  <c:v>104.32690037638383</c:v>
                </c:pt>
                <c:pt idx="12">
                  <c:v>95.691244037520732</c:v>
                </c:pt>
                <c:pt idx="13">
                  <c:v>88.76470061546604</c:v>
                </c:pt>
                <c:pt idx="14">
                  <c:v>83.596058999356615</c:v>
                </c:pt>
                <c:pt idx="15">
                  <c:v>79.721877682991931</c:v>
                </c:pt>
                <c:pt idx="16">
                  <c:v>76.179360275182603</c:v>
                </c:pt>
                <c:pt idx="17">
                  <c:v>73.440951075472981</c:v>
                </c:pt>
                <c:pt idx="18">
                  <c:v>70.584840902977362</c:v>
                </c:pt>
                <c:pt idx="19">
                  <c:v>68.00696820000087</c:v>
                </c:pt>
                <c:pt idx="20">
                  <c:v>65.131626245828443</c:v>
                </c:pt>
                <c:pt idx="21">
                  <c:v>62.463436480951145</c:v>
                </c:pt>
                <c:pt idx="22">
                  <c:v>59.522953387723078</c:v>
                </c:pt>
                <c:pt idx="23">
                  <c:v>56.853203167169681</c:v>
                </c:pt>
                <c:pt idx="24">
                  <c:v>54.489907119512168</c:v>
                </c:pt>
                <c:pt idx="25">
                  <c:v>52.731543305197079</c:v>
                </c:pt>
                <c:pt idx="26">
                  <c:v>51.361704998548134</c:v>
                </c:pt>
                <c:pt idx="27">
                  <c:v>50.584175823705095</c:v>
                </c:pt>
                <c:pt idx="28">
                  <c:v>50.122516135823275</c:v>
                </c:pt>
                <c:pt idx="29">
                  <c:v>49.331073895790155</c:v>
                </c:pt>
                <c:pt idx="30">
                  <c:v>47.333750271958138</c:v>
                </c:pt>
                <c:pt idx="31">
                  <c:v>44.160296689684742</c:v>
                </c:pt>
              </c:numCache>
            </c:numRef>
          </c:yVal>
          <c:smooth val="0"/>
        </c:ser>
        <c:ser>
          <c:idx val="1"/>
          <c:order val="2"/>
          <c:tx>
            <c:v>Legacy Modeled</c:v>
          </c:tx>
          <c:spPr>
            <a:ln w="3175">
              <a:solidFill>
                <a:srgbClr val="808080"/>
              </a:solidFill>
              <a:prstDash val="sysDash"/>
            </a:ln>
          </c:spPr>
          <c:marker>
            <c:symbol val="none"/>
          </c:marker>
          <c:xVal>
            <c:numRef>
              <c:f>'ARC-2e V-I Curve'!$L$3:$L$34</c:f>
              <c:numCache>
                <c:formatCode>0.0</c:formatCode>
                <c:ptCount val="32"/>
                <c:pt idx="0">
                  <c:v>5.6</c:v>
                </c:pt>
                <c:pt idx="1">
                  <c:v>5.99</c:v>
                </c:pt>
                <c:pt idx="2">
                  <c:v>6.51</c:v>
                </c:pt>
                <c:pt idx="3">
                  <c:v>7</c:v>
                </c:pt>
                <c:pt idx="4">
                  <c:v>7.48</c:v>
                </c:pt>
                <c:pt idx="5">
                  <c:v>8.01</c:v>
                </c:pt>
                <c:pt idx="6">
                  <c:v>8.52</c:v>
                </c:pt>
                <c:pt idx="7">
                  <c:v>9.0299999999999994</c:v>
                </c:pt>
                <c:pt idx="8">
                  <c:v>9.5299999999999994</c:v>
                </c:pt>
                <c:pt idx="9">
                  <c:v>10.02</c:v>
                </c:pt>
                <c:pt idx="10">
                  <c:v>11.03</c:v>
                </c:pt>
                <c:pt idx="11">
                  <c:v>12</c:v>
                </c:pt>
                <c:pt idx="12">
                  <c:v>13.01</c:v>
                </c:pt>
                <c:pt idx="13">
                  <c:v>14.04</c:v>
                </c:pt>
                <c:pt idx="14">
                  <c:v>15.03</c:v>
                </c:pt>
                <c:pt idx="15">
                  <c:v>15.97</c:v>
                </c:pt>
                <c:pt idx="16">
                  <c:v>17.03</c:v>
                </c:pt>
                <c:pt idx="17">
                  <c:v>17.98</c:v>
                </c:pt>
                <c:pt idx="18">
                  <c:v>19.04</c:v>
                </c:pt>
                <c:pt idx="19">
                  <c:v>20</c:v>
                </c:pt>
                <c:pt idx="20">
                  <c:v>21.04</c:v>
                </c:pt>
                <c:pt idx="21">
                  <c:v>21.98</c:v>
                </c:pt>
                <c:pt idx="22">
                  <c:v>23.02</c:v>
                </c:pt>
                <c:pt idx="23">
                  <c:v>24.02</c:v>
                </c:pt>
                <c:pt idx="24">
                  <c:v>25.03</c:v>
                </c:pt>
                <c:pt idx="25">
                  <c:v>25.97</c:v>
                </c:pt>
                <c:pt idx="26">
                  <c:v>27.02</c:v>
                </c:pt>
                <c:pt idx="27">
                  <c:v>28.04</c:v>
                </c:pt>
                <c:pt idx="28">
                  <c:v>28.98</c:v>
                </c:pt>
                <c:pt idx="29">
                  <c:v>30.03</c:v>
                </c:pt>
                <c:pt idx="30">
                  <c:v>31.04</c:v>
                </c:pt>
                <c:pt idx="31">
                  <c:v>31.8</c:v>
                </c:pt>
              </c:numCache>
            </c:numRef>
          </c:xVal>
          <c:yVal>
            <c:numRef>
              <c:f>'ARC-2e V-I Curve'!$Q$3:$Q$34</c:f>
              <c:numCache>
                <c:formatCode>0.0</c:formatCode>
                <c:ptCount val="32"/>
                <c:pt idx="0">
                  <c:v>305.60898795541328</c:v>
                </c:pt>
                <c:pt idx="1">
                  <c:v>285.43246280576591</c:v>
                </c:pt>
                <c:pt idx="2">
                  <c:v>262.31610988751896</c:v>
                </c:pt>
                <c:pt idx="3">
                  <c:v>243.6974105231894</c:v>
                </c:pt>
                <c:pt idx="4">
                  <c:v>227.83985997488557</c:v>
                </c:pt>
                <c:pt idx="5">
                  <c:v>212.5532199860761</c:v>
                </c:pt>
                <c:pt idx="6">
                  <c:v>199.65119187900655</c:v>
                </c:pt>
                <c:pt idx="7">
                  <c:v>188.21648275251715</c:v>
                </c:pt>
                <c:pt idx="8">
                  <c:v>178.20222751536747</c:v>
                </c:pt>
                <c:pt idx="9">
                  <c:v>169.36457341629716</c:v>
                </c:pt>
                <c:pt idx="10">
                  <c:v>153.6420236505725</c:v>
                </c:pt>
                <c:pt idx="11">
                  <c:v>141.05013363917757</c:v>
                </c:pt>
                <c:pt idx="12">
                  <c:v>129.94768850420948</c:v>
                </c:pt>
                <c:pt idx="13">
                  <c:v>120.28153040668127</c:v>
                </c:pt>
                <c:pt idx="14">
                  <c:v>112.24783940756592</c:v>
                </c:pt>
                <c:pt idx="15">
                  <c:v>105.54800735551105</c:v>
                </c:pt>
                <c:pt idx="16">
                  <c:v>98.886183511782008</c:v>
                </c:pt>
                <c:pt idx="17">
                  <c:v>93.587692237877022</c:v>
                </c:pt>
                <c:pt idx="18">
                  <c:v>88.30407820479077</c:v>
                </c:pt>
                <c:pt idx="19">
                  <c:v>84.005543406177992</c:v>
                </c:pt>
                <c:pt idx="20">
                  <c:v>79.794503618578958</c:v>
                </c:pt>
                <c:pt idx="21">
                  <c:v>76.333607331969418</c:v>
                </c:pt>
                <c:pt idx="22">
                  <c:v>72.836158054728315</c:v>
                </c:pt>
                <c:pt idx="23">
                  <c:v>69.760818012165814</c:v>
                </c:pt>
                <c:pt idx="24">
                  <c:v>66.905888764397758</c:v>
                </c:pt>
                <c:pt idx="25">
                  <c:v>64.449727163422807</c:v>
                </c:pt>
                <c:pt idx="26">
                  <c:v>61.909613666224779</c:v>
                </c:pt>
                <c:pt idx="27">
                  <c:v>59.625507103288058</c:v>
                </c:pt>
                <c:pt idx="28">
                  <c:v>57.663907515883395</c:v>
                </c:pt>
                <c:pt idx="29">
                  <c:v>55.61897635263724</c:v>
                </c:pt>
                <c:pt idx="30">
                  <c:v>53.783405612273434</c:v>
                </c:pt>
                <c:pt idx="31">
                  <c:v>52.479605640166248</c:v>
                </c:pt>
              </c:numCache>
            </c:numRef>
          </c:yVal>
          <c:smooth val="0"/>
        </c:ser>
        <c:dLbls>
          <c:showLegendKey val="0"/>
          <c:showVal val="0"/>
          <c:showCatName val="0"/>
          <c:showSerName val="0"/>
          <c:showPercent val="0"/>
          <c:showBubbleSize val="0"/>
        </c:dLbls>
        <c:axId val="153097728"/>
        <c:axId val="153099648"/>
      </c:scatterChart>
      <c:valAx>
        <c:axId val="153097728"/>
        <c:scaling>
          <c:orientation val="minMax"/>
          <c:max val="32"/>
          <c:min val="5"/>
        </c:scaling>
        <c:delete val="0"/>
        <c:axPos val="b"/>
        <c:title>
          <c:tx>
            <c:rich>
              <a:bodyPr/>
              <a:lstStyle/>
              <a:p>
                <a:pPr>
                  <a:defRPr sz="900" b="1" i="0" u="none" strike="noStrike" baseline="0">
                    <a:solidFill>
                      <a:srgbClr val="000000"/>
                    </a:solidFill>
                    <a:latin typeface="Arial"/>
                    <a:ea typeface="Arial"/>
                    <a:cs typeface="Arial"/>
                  </a:defRPr>
                </a:pPr>
                <a:r>
                  <a:rPr lang="en-US"/>
                  <a:t>Input Voltage (V)</a:t>
                </a:r>
              </a:p>
            </c:rich>
          </c:tx>
          <c:layout>
            <c:manualLayout>
              <c:xMode val="edge"/>
              <c:yMode val="edge"/>
              <c:x val="0.45283018867924529"/>
              <c:y val="0.94967600640828986"/>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099648"/>
        <c:crosses val="autoZero"/>
        <c:crossBetween val="midCat"/>
      </c:valAx>
      <c:valAx>
        <c:axId val="153099648"/>
        <c:scaling>
          <c:orientation val="minMax"/>
          <c:max val="310"/>
          <c:min val="0"/>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Input Current (mA)</a:t>
                </a:r>
              </a:p>
            </c:rich>
          </c:tx>
          <c:layout>
            <c:manualLayout>
              <c:xMode val="edge"/>
              <c:yMode val="edge"/>
              <c:x val="1.4513788098693759E-2"/>
              <c:y val="0.4237016395677812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097728"/>
        <c:crosses val="autoZero"/>
        <c:crossBetween val="midCat"/>
      </c:valAx>
      <c:spPr>
        <a:solidFill>
          <a:srgbClr val="C0C0C0"/>
        </a:solidFill>
        <a:ln w="12700">
          <a:solidFill>
            <a:srgbClr val="808080"/>
          </a:solidFill>
          <a:prstDash val="solid"/>
        </a:ln>
      </c:spPr>
    </c:plotArea>
    <c:legend>
      <c:legendPos val="r"/>
      <c:layout>
        <c:manualLayout>
          <c:xMode val="edge"/>
          <c:yMode val="edge"/>
          <c:x val="0.68069666182873734"/>
          <c:y val="0.16720792474755602"/>
          <c:w val="0.2539912917271408"/>
          <c:h val="0.1331169886339766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Modular ARC Maximum Current Consumption vs. Input Voltage</a:t>
            </a:r>
          </a:p>
        </c:rich>
      </c:tx>
      <c:layout>
        <c:manualLayout>
          <c:xMode val="edge"/>
          <c:yMode val="edge"/>
          <c:x val="0.17706821480406387"/>
          <c:y val="2.7597402597402596E-2"/>
        </c:manualLayout>
      </c:layout>
      <c:overlay val="0"/>
      <c:spPr>
        <a:noFill/>
        <a:ln w="25400">
          <a:noFill/>
        </a:ln>
      </c:spPr>
    </c:title>
    <c:autoTitleDeleted val="0"/>
    <c:plotArea>
      <c:layout>
        <c:manualLayout>
          <c:layoutTarget val="inner"/>
          <c:xMode val="edge"/>
          <c:yMode val="edge"/>
          <c:x val="7.8374455732946297E-2"/>
          <c:y val="0.1250000990831244"/>
          <c:w val="0.88098693759071123"/>
          <c:h val="0.78084477479198489"/>
        </c:manualLayout>
      </c:layout>
      <c:scatterChart>
        <c:scatterStyle val="lineMarker"/>
        <c:varyColors val="0"/>
        <c:ser>
          <c:idx val="0"/>
          <c:order val="0"/>
          <c:tx>
            <c:v>Measured</c:v>
          </c:tx>
          <c:spPr>
            <a:ln w="25400">
              <a:solidFill>
                <a:srgbClr val="000080"/>
              </a:solidFill>
              <a:prstDash val="solid"/>
            </a:ln>
          </c:spPr>
          <c:marker>
            <c:symbol val="diamond"/>
            <c:size val="6"/>
            <c:spPr>
              <a:solidFill>
                <a:srgbClr val="000080"/>
              </a:solidFill>
              <a:ln>
                <a:solidFill>
                  <a:srgbClr val="000080"/>
                </a:solidFill>
                <a:prstDash val="solid"/>
              </a:ln>
            </c:spPr>
          </c:marker>
          <c:xVal>
            <c:numRef>
              <c:f>'Mod. ARC V-I Curve'!$L$4:$L$31</c:f>
              <c:numCache>
                <c:formatCode>0.0</c:formatCode>
                <c:ptCount val="28"/>
                <c:pt idx="0">
                  <c:v>7.49</c:v>
                </c:pt>
                <c:pt idx="1">
                  <c:v>7.99</c:v>
                </c:pt>
                <c:pt idx="2">
                  <c:v>8.48</c:v>
                </c:pt>
                <c:pt idx="3">
                  <c:v>8.98</c:v>
                </c:pt>
                <c:pt idx="4">
                  <c:v>9.4960000000000004</c:v>
                </c:pt>
                <c:pt idx="5">
                  <c:v>9.98</c:v>
                </c:pt>
                <c:pt idx="6">
                  <c:v>11.015000000000001</c:v>
                </c:pt>
                <c:pt idx="7">
                  <c:v>11.99</c:v>
                </c:pt>
                <c:pt idx="8">
                  <c:v>12.99</c:v>
                </c:pt>
                <c:pt idx="9">
                  <c:v>14.01</c:v>
                </c:pt>
                <c:pt idx="10">
                  <c:v>15</c:v>
                </c:pt>
                <c:pt idx="11">
                  <c:v>16.02</c:v>
                </c:pt>
                <c:pt idx="12">
                  <c:v>17.006</c:v>
                </c:pt>
                <c:pt idx="13">
                  <c:v>17.984999999999999</c:v>
                </c:pt>
                <c:pt idx="14">
                  <c:v>19</c:v>
                </c:pt>
                <c:pt idx="15">
                  <c:v>20</c:v>
                </c:pt>
                <c:pt idx="16">
                  <c:v>21.02</c:v>
                </c:pt>
                <c:pt idx="17">
                  <c:v>21.98</c:v>
                </c:pt>
                <c:pt idx="18">
                  <c:v>22.98</c:v>
                </c:pt>
                <c:pt idx="19">
                  <c:v>23.99</c:v>
                </c:pt>
                <c:pt idx="20">
                  <c:v>24.98</c:v>
                </c:pt>
                <c:pt idx="21">
                  <c:v>25.99</c:v>
                </c:pt>
                <c:pt idx="22">
                  <c:v>27.01</c:v>
                </c:pt>
                <c:pt idx="23">
                  <c:v>28.01</c:v>
                </c:pt>
                <c:pt idx="24">
                  <c:v>28.98</c:v>
                </c:pt>
                <c:pt idx="25">
                  <c:v>30.01</c:v>
                </c:pt>
                <c:pt idx="26">
                  <c:v>31</c:v>
                </c:pt>
                <c:pt idx="27">
                  <c:v>31.86</c:v>
                </c:pt>
              </c:numCache>
            </c:numRef>
          </c:xVal>
          <c:yVal>
            <c:numRef>
              <c:f>'Mod. ARC V-I Curve'!$M$4:$M$31</c:f>
              <c:numCache>
                <c:formatCode>0.0</c:formatCode>
                <c:ptCount val="28"/>
                <c:pt idx="0">
                  <c:v>74.3</c:v>
                </c:pt>
                <c:pt idx="1">
                  <c:v>69.7</c:v>
                </c:pt>
                <c:pt idx="2">
                  <c:v>65.8</c:v>
                </c:pt>
                <c:pt idx="3">
                  <c:v>62.3</c:v>
                </c:pt>
                <c:pt idx="4">
                  <c:v>58.8</c:v>
                </c:pt>
                <c:pt idx="5">
                  <c:v>55.9</c:v>
                </c:pt>
                <c:pt idx="6">
                  <c:v>50.5</c:v>
                </c:pt>
                <c:pt idx="7">
                  <c:v>46.4</c:v>
                </c:pt>
                <c:pt idx="8">
                  <c:v>42.9</c:v>
                </c:pt>
                <c:pt idx="9">
                  <c:v>39.799999999999997</c:v>
                </c:pt>
                <c:pt idx="10">
                  <c:v>37.200000000000003</c:v>
                </c:pt>
                <c:pt idx="11">
                  <c:v>35</c:v>
                </c:pt>
                <c:pt idx="12">
                  <c:v>33</c:v>
                </c:pt>
                <c:pt idx="13">
                  <c:v>31.3</c:v>
                </c:pt>
                <c:pt idx="14">
                  <c:v>29.7</c:v>
                </c:pt>
                <c:pt idx="15">
                  <c:v>28.3</c:v>
                </c:pt>
                <c:pt idx="16">
                  <c:v>27.1</c:v>
                </c:pt>
                <c:pt idx="17">
                  <c:v>25.9</c:v>
                </c:pt>
                <c:pt idx="18">
                  <c:v>24.9</c:v>
                </c:pt>
                <c:pt idx="19">
                  <c:v>23.9</c:v>
                </c:pt>
                <c:pt idx="20">
                  <c:v>23.1</c:v>
                </c:pt>
                <c:pt idx="21">
                  <c:v>22.2</c:v>
                </c:pt>
                <c:pt idx="22">
                  <c:v>21.5</c:v>
                </c:pt>
                <c:pt idx="23">
                  <c:v>20.8</c:v>
                </c:pt>
                <c:pt idx="24">
                  <c:v>20.100000000000001</c:v>
                </c:pt>
                <c:pt idx="25">
                  <c:v>19.600000000000001</c:v>
                </c:pt>
                <c:pt idx="26">
                  <c:v>18.899999999999999</c:v>
                </c:pt>
                <c:pt idx="27">
                  <c:v>18.600000000000001</c:v>
                </c:pt>
              </c:numCache>
            </c:numRef>
          </c:yVal>
          <c:smooth val="0"/>
        </c:ser>
        <c:ser>
          <c:idx val="1"/>
          <c:order val="1"/>
          <c:tx>
            <c:v>Modeled</c:v>
          </c:tx>
          <c:spPr>
            <a:ln w="25400">
              <a:solidFill>
                <a:srgbClr val="FFCC00"/>
              </a:solidFill>
              <a:prstDash val="sysDash"/>
            </a:ln>
          </c:spPr>
          <c:marker>
            <c:symbol val="none"/>
          </c:marker>
          <c:xVal>
            <c:numRef>
              <c:f>'Mod. ARC V-I Curve'!$L$4:$L$31</c:f>
              <c:numCache>
                <c:formatCode>0.0</c:formatCode>
                <c:ptCount val="28"/>
                <c:pt idx="0">
                  <c:v>7.49</c:v>
                </c:pt>
                <c:pt idx="1">
                  <c:v>7.99</c:v>
                </c:pt>
                <c:pt idx="2">
                  <c:v>8.48</c:v>
                </c:pt>
                <c:pt idx="3">
                  <c:v>8.98</c:v>
                </c:pt>
                <c:pt idx="4">
                  <c:v>9.4960000000000004</c:v>
                </c:pt>
                <c:pt idx="5">
                  <c:v>9.98</c:v>
                </c:pt>
                <c:pt idx="6">
                  <c:v>11.015000000000001</c:v>
                </c:pt>
                <c:pt idx="7">
                  <c:v>11.99</c:v>
                </c:pt>
                <c:pt idx="8">
                  <c:v>12.99</c:v>
                </c:pt>
                <c:pt idx="9">
                  <c:v>14.01</c:v>
                </c:pt>
                <c:pt idx="10">
                  <c:v>15</c:v>
                </c:pt>
                <c:pt idx="11">
                  <c:v>16.02</c:v>
                </c:pt>
                <c:pt idx="12">
                  <c:v>17.006</c:v>
                </c:pt>
                <c:pt idx="13">
                  <c:v>17.984999999999999</c:v>
                </c:pt>
                <c:pt idx="14">
                  <c:v>19</c:v>
                </c:pt>
                <c:pt idx="15">
                  <c:v>20</c:v>
                </c:pt>
                <c:pt idx="16">
                  <c:v>21.02</c:v>
                </c:pt>
                <c:pt idx="17">
                  <c:v>21.98</c:v>
                </c:pt>
                <c:pt idx="18">
                  <c:v>22.98</c:v>
                </c:pt>
                <c:pt idx="19">
                  <c:v>23.99</c:v>
                </c:pt>
                <c:pt idx="20">
                  <c:v>24.98</c:v>
                </c:pt>
                <c:pt idx="21">
                  <c:v>25.99</c:v>
                </c:pt>
                <c:pt idx="22">
                  <c:v>27.01</c:v>
                </c:pt>
                <c:pt idx="23">
                  <c:v>28.01</c:v>
                </c:pt>
                <c:pt idx="24">
                  <c:v>28.98</c:v>
                </c:pt>
                <c:pt idx="25">
                  <c:v>30.01</c:v>
                </c:pt>
                <c:pt idx="26">
                  <c:v>31</c:v>
                </c:pt>
                <c:pt idx="27">
                  <c:v>31.86</c:v>
                </c:pt>
              </c:numCache>
            </c:numRef>
          </c:xVal>
          <c:yVal>
            <c:numRef>
              <c:f>'Mod. ARC V-I Curve'!$O$4:$O$31</c:f>
              <c:numCache>
                <c:formatCode>0.0</c:formatCode>
                <c:ptCount val="28"/>
                <c:pt idx="0">
                  <c:v>73.425847200001755</c:v>
                </c:pt>
                <c:pt idx="1">
                  <c:v>69.002796939660541</c:v>
                </c:pt>
                <c:pt idx="2">
                  <c:v>65.165064169741811</c:v>
                </c:pt>
                <c:pt idx="3">
                  <c:v>61.672873267482807</c:v>
                </c:pt>
                <c:pt idx="4">
                  <c:v>58.4474924770551</c:v>
                </c:pt>
                <c:pt idx="5">
                  <c:v>55.719722013841945</c:v>
                </c:pt>
                <c:pt idx="6">
                  <c:v>50.676685354394984</c:v>
                </c:pt>
                <c:pt idx="7">
                  <c:v>46.708350195817708</c:v>
                </c:pt>
                <c:pt idx="8">
                  <c:v>43.246073996323695</c:v>
                </c:pt>
                <c:pt idx="9">
                  <c:v>40.214639458665509</c:v>
                </c:pt>
                <c:pt idx="10">
                  <c:v>37.659540253574292</c:v>
                </c:pt>
                <c:pt idx="11">
                  <c:v>35.351348342246112</c:v>
                </c:pt>
                <c:pt idx="12">
                  <c:v>33.378515702270185</c:v>
                </c:pt>
                <c:pt idx="13">
                  <c:v>31.629805199515712</c:v>
                </c:pt>
                <c:pt idx="14">
                  <c:v>30.003587071142356</c:v>
                </c:pt>
                <c:pt idx="15">
                  <c:v>28.559865894103801</c:v>
                </c:pt>
                <c:pt idx="16">
                  <c:v>27.226187895762923</c:v>
                </c:pt>
                <c:pt idx="17">
                  <c:v>26.081951343447745</c:v>
                </c:pt>
                <c:pt idx="18">
                  <c:v>24.98982191426148</c:v>
                </c:pt>
                <c:pt idx="19">
                  <c:v>23.977482531433534</c:v>
                </c:pt>
                <c:pt idx="20">
                  <c:v>23.063165272836979</c:v>
                </c:pt>
                <c:pt idx="21">
                  <c:v>22.200826431390151</c:v>
                </c:pt>
                <c:pt idx="22">
                  <c:v>21.39418739539547</c:v>
                </c:pt>
                <c:pt idx="23">
                  <c:v>20.659336076941518</c:v>
                </c:pt>
                <c:pt idx="24">
                  <c:v>19.994082259014128</c:v>
                </c:pt>
                <c:pt idx="25">
                  <c:v>19.33387900948734</c:v>
                </c:pt>
                <c:pt idx="26">
                  <c:v>18.739891924104093</c:v>
                </c:pt>
                <c:pt idx="27">
                  <c:v>18.253303218476681</c:v>
                </c:pt>
              </c:numCache>
            </c:numRef>
          </c:yVal>
          <c:smooth val="0"/>
        </c:ser>
        <c:dLbls>
          <c:showLegendKey val="0"/>
          <c:showVal val="0"/>
          <c:showCatName val="0"/>
          <c:showSerName val="0"/>
          <c:showPercent val="0"/>
          <c:showBubbleSize val="0"/>
        </c:dLbls>
        <c:axId val="154420736"/>
        <c:axId val="154422656"/>
      </c:scatterChart>
      <c:valAx>
        <c:axId val="154420736"/>
        <c:scaling>
          <c:orientation val="minMax"/>
          <c:max val="32"/>
          <c:min val="5"/>
        </c:scaling>
        <c:delete val="0"/>
        <c:axPos val="b"/>
        <c:title>
          <c:tx>
            <c:rich>
              <a:bodyPr/>
              <a:lstStyle/>
              <a:p>
                <a:pPr>
                  <a:defRPr sz="900" b="1" i="0" u="none" strike="noStrike" baseline="0">
                    <a:solidFill>
                      <a:srgbClr val="000000"/>
                    </a:solidFill>
                    <a:latin typeface="Arial"/>
                    <a:ea typeface="Arial"/>
                    <a:cs typeface="Arial"/>
                  </a:defRPr>
                </a:pPr>
                <a:r>
                  <a:rPr lang="en-US"/>
                  <a:t>Input Voltage (V)</a:t>
                </a:r>
              </a:p>
            </c:rich>
          </c:tx>
          <c:layout>
            <c:manualLayout>
              <c:xMode val="edge"/>
              <c:yMode val="edge"/>
              <c:x val="0.44847605224963716"/>
              <c:y val="0.94967600640828986"/>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422656"/>
        <c:crosses val="autoZero"/>
        <c:crossBetween val="midCat"/>
      </c:valAx>
      <c:valAx>
        <c:axId val="154422656"/>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Input Current (mA)</a:t>
                </a:r>
              </a:p>
            </c:rich>
          </c:tx>
          <c:layout>
            <c:manualLayout>
              <c:xMode val="edge"/>
              <c:yMode val="edge"/>
              <c:x val="1.4513788098693759E-2"/>
              <c:y val="0.426948392814534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420736"/>
        <c:crosses val="autoZero"/>
        <c:crossBetween val="midCat"/>
      </c:valAx>
      <c:spPr>
        <a:solidFill>
          <a:srgbClr val="C0C0C0"/>
        </a:solidFill>
        <a:ln w="12700">
          <a:solidFill>
            <a:srgbClr val="808080"/>
          </a:solidFill>
          <a:prstDash val="solid"/>
        </a:ln>
      </c:spPr>
    </c:plotArea>
    <c:legend>
      <c:legendPos val="r"/>
      <c:layout>
        <c:manualLayout>
          <c:xMode val="edge"/>
          <c:yMode val="edge"/>
          <c:x val="0.65929298501593758"/>
          <c:y val="0.15299696325796289"/>
          <c:w val="0.17551647699529435"/>
          <c:h val="7.5709837488476484E-2"/>
        </c:manualLayout>
      </c:layout>
      <c:overlay val="0"/>
      <c:spPr>
        <a:solidFill>
          <a:srgbClr val="FFFFFF"/>
        </a:solidFill>
        <a:ln w="3175">
          <a:solidFill>
            <a:srgbClr val="000000"/>
          </a:solidFill>
          <a:prstDash val="solid"/>
        </a:ln>
      </c:spPr>
      <c:txPr>
        <a:bodyPr/>
        <a:lstStyle/>
        <a:p>
          <a:pPr>
            <a:defRPr sz="10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ARC-3 Maximum Current Consumption vs. Input Voltage</a:t>
            </a:r>
          </a:p>
        </c:rich>
      </c:tx>
      <c:layout>
        <c:manualLayout>
          <c:xMode val="edge"/>
          <c:yMode val="edge"/>
          <c:x val="0.20609579100145137"/>
          <c:y val="2.7597402597402596E-2"/>
        </c:manualLayout>
      </c:layout>
      <c:overlay val="0"/>
      <c:spPr>
        <a:noFill/>
        <a:ln w="25400">
          <a:noFill/>
        </a:ln>
      </c:spPr>
    </c:title>
    <c:autoTitleDeleted val="0"/>
    <c:plotArea>
      <c:layout>
        <c:manualLayout>
          <c:layoutTarget val="inner"/>
          <c:xMode val="edge"/>
          <c:yMode val="edge"/>
          <c:x val="8.7570742257490092E-2"/>
          <c:y val="0.11544733779112328"/>
          <c:w val="0.87147012859469974"/>
          <c:h val="0.78536710074806393"/>
        </c:manualLayout>
      </c:layout>
      <c:scatterChart>
        <c:scatterStyle val="lineMarker"/>
        <c:varyColors val="0"/>
        <c:ser>
          <c:idx val="0"/>
          <c:order val="0"/>
          <c:tx>
            <c:v>Measured</c:v>
          </c:tx>
          <c:spPr>
            <a:ln w="12700">
              <a:solidFill>
                <a:srgbClr val="000080"/>
              </a:solidFill>
              <a:prstDash val="solid"/>
            </a:ln>
          </c:spPr>
          <c:marker>
            <c:symbol val="diamond"/>
            <c:size val="6"/>
            <c:spPr>
              <a:solidFill>
                <a:srgbClr val="000080"/>
              </a:solidFill>
              <a:ln>
                <a:solidFill>
                  <a:srgbClr val="000080"/>
                </a:solidFill>
                <a:prstDash val="solid"/>
              </a:ln>
            </c:spPr>
          </c:marker>
          <c:trendline>
            <c:spPr>
              <a:ln w="25400">
                <a:solidFill>
                  <a:srgbClr val="000000"/>
                </a:solidFill>
                <a:prstDash val="solid"/>
              </a:ln>
            </c:spPr>
            <c:trendlineType val="poly"/>
            <c:order val="6"/>
            <c:dispRSqr val="0"/>
            <c:dispEq val="1"/>
            <c:trendlineLbl>
              <c:layout>
                <c:manualLayout>
                  <c:x val="4.8385596102722681E-2"/>
                  <c:y val="6.6285465727457277E-2"/>
                </c:manualLayout>
              </c:layout>
              <c:numFmt formatCode="0.0000000E+00" sourceLinked="0"/>
              <c:spPr>
                <a:noFill/>
                <a:ln w="25400">
                  <a:noFill/>
                </a:ln>
              </c:spPr>
              <c:txPr>
                <a:bodyPr/>
                <a:lstStyle/>
                <a:p>
                  <a:pPr>
                    <a:defRPr sz="1125" b="0" i="0" u="none" strike="noStrike" baseline="0">
                      <a:solidFill>
                        <a:srgbClr val="000000"/>
                      </a:solidFill>
                      <a:latin typeface="Arial"/>
                      <a:ea typeface="Arial"/>
                      <a:cs typeface="Arial"/>
                    </a:defRPr>
                  </a:pPr>
                  <a:endParaRPr lang="en-US"/>
                </a:p>
              </c:txPr>
            </c:trendlineLbl>
          </c:trendline>
          <c:xVal>
            <c:numRef>
              <c:f>'ARC-3 V-I Curve'!$L$4:$L$34</c:f>
              <c:numCache>
                <c:formatCode>0.0</c:formatCode>
                <c:ptCount val="31"/>
                <c:pt idx="0">
                  <c:v>6</c:v>
                </c:pt>
                <c:pt idx="1">
                  <c:v>6.5</c:v>
                </c:pt>
                <c:pt idx="2">
                  <c:v>7</c:v>
                </c:pt>
                <c:pt idx="3">
                  <c:v>7.5</c:v>
                </c:pt>
                <c:pt idx="4">
                  <c:v>8</c:v>
                </c:pt>
                <c:pt idx="5">
                  <c:v>8.5</c:v>
                </c:pt>
                <c:pt idx="6">
                  <c:v>9</c:v>
                </c:pt>
                <c:pt idx="7">
                  <c:v>9.5</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31.76</c:v>
                </c:pt>
              </c:numCache>
            </c:numRef>
          </c:xVal>
          <c:yVal>
            <c:numRef>
              <c:f>'ARC-3 V-I Curve'!$O$4:$O$34</c:f>
              <c:numCache>
                <c:formatCode>0.0</c:formatCode>
                <c:ptCount val="31"/>
                <c:pt idx="0">
                  <c:v>232</c:v>
                </c:pt>
                <c:pt idx="1">
                  <c:v>222.5</c:v>
                </c:pt>
                <c:pt idx="2">
                  <c:v>206.7</c:v>
                </c:pt>
                <c:pt idx="3">
                  <c:v>193.6</c:v>
                </c:pt>
                <c:pt idx="4">
                  <c:v>182</c:v>
                </c:pt>
                <c:pt idx="5">
                  <c:v>172.8</c:v>
                </c:pt>
                <c:pt idx="6">
                  <c:v>164</c:v>
                </c:pt>
                <c:pt idx="7">
                  <c:v>156.69999999999999</c:v>
                </c:pt>
                <c:pt idx="8">
                  <c:v>149.6</c:v>
                </c:pt>
                <c:pt idx="9">
                  <c:v>137.1</c:v>
                </c:pt>
                <c:pt idx="10">
                  <c:v>127.3</c:v>
                </c:pt>
                <c:pt idx="11">
                  <c:v>119</c:v>
                </c:pt>
                <c:pt idx="12">
                  <c:v>111.8</c:v>
                </c:pt>
                <c:pt idx="13">
                  <c:v>105.5</c:v>
                </c:pt>
                <c:pt idx="14">
                  <c:v>100.2</c:v>
                </c:pt>
                <c:pt idx="15">
                  <c:v>95.3</c:v>
                </c:pt>
                <c:pt idx="16">
                  <c:v>90.8</c:v>
                </c:pt>
                <c:pt idx="17">
                  <c:v>87</c:v>
                </c:pt>
                <c:pt idx="18">
                  <c:v>83.5</c:v>
                </c:pt>
                <c:pt idx="19">
                  <c:v>80.5</c:v>
                </c:pt>
                <c:pt idx="20">
                  <c:v>77.7</c:v>
                </c:pt>
                <c:pt idx="21">
                  <c:v>75</c:v>
                </c:pt>
                <c:pt idx="22">
                  <c:v>72.7</c:v>
                </c:pt>
                <c:pt idx="23">
                  <c:v>70.5</c:v>
                </c:pt>
                <c:pt idx="24">
                  <c:v>68.5</c:v>
                </c:pt>
                <c:pt idx="25">
                  <c:v>66.7</c:v>
                </c:pt>
                <c:pt idx="26">
                  <c:v>64.900000000000006</c:v>
                </c:pt>
                <c:pt idx="27">
                  <c:v>63.2</c:v>
                </c:pt>
                <c:pt idx="28">
                  <c:v>61.8</c:v>
                </c:pt>
                <c:pt idx="29">
                  <c:v>60.4</c:v>
                </c:pt>
                <c:pt idx="30">
                  <c:v>59.3</c:v>
                </c:pt>
              </c:numCache>
            </c:numRef>
          </c:yVal>
          <c:smooth val="0"/>
        </c:ser>
        <c:ser>
          <c:idx val="2"/>
          <c:order val="1"/>
          <c:tx>
            <c:v>Modeled</c:v>
          </c:tx>
          <c:spPr>
            <a:ln w="12700">
              <a:solidFill>
                <a:srgbClr val="FFFF00"/>
              </a:solidFill>
              <a:prstDash val="solid"/>
            </a:ln>
          </c:spPr>
          <c:marker>
            <c:symbol val="none"/>
          </c:marker>
          <c:xVal>
            <c:numRef>
              <c:f>'ARC-3 V-I Curve'!$L$3:$L$34</c:f>
              <c:numCache>
                <c:formatCode>0.0</c:formatCode>
                <c:ptCount val="32"/>
                <c:pt idx="0">
                  <c:v>5.5</c:v>
                </c:pt>
                <c:pt idx="1">
                  <c:v>6</c:v>
                </c:pt>
                <c:pt idx="2">
                  <c:v>6.5</c:v>
                </c:pt>
                <c:pt idx="3">
                  <c:v>7</c:v>
                </c:pt>
                <c:pt idx="4">
                  <c:v>7.5</c:v>
                </c:pt>
                <c:pt idx="5">
                  <c:v>8</c:v>
                </c:pt>
                <c:pt idx="6">
                  <c:v>8.5</c:v>
                </c:pt>
                <c:pt idx="7">
                  <c:v>9</c:v>
                </c:pt>
                <c:pt idx="8">
                  <c:v>9.5</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31.76</c:v>
                </c:pt>
              </c:numCache>
            </c:numRef>
          </c:xVal>
          <c:yVal>
            <c:numRef>
              <c:f>'ARC-3 V-I Curve'!$Q$3:$Q$34</c:f>
              <c:numCache>
                <c:formatCode>0.00</c:formatCode>
                <c:ptCount val="32"/>
                <c:pt idx="0">
                  <c:v>250.96842397837395</c:v>
                </c:pt>
                <c:pt idx="1">
                  <c:v>234.31132020421762</c:v>
                </c:pt>
                <c:pt idx="2">
                  <c:v>219.34699695718615</c:v>
                </c:pt>
                <c:pt idx="3">
                  <c:v>205.90731277076782</c:v>
                </c:pt>
                <c:pt idx="4">
                  <c:v>193.83769953952634</c:v>
                </c:pt>
                <c:pt idx="5">
                  <c:v>182.99640845002239</c:v>
                </c:pt>
                <c:pt idx="6">
                  <c:v>173.25377709635359</c:v>
                </c:pt>
                <c:pt idx="7">
                  <c:v>164.49151778031114</c:v>
                </c:pt>
                <c:pt idx="8">
                  <c:v>156.60202699615377</c:v>
                </c:pt>
                <c:pt idx="9">
                  <c:v>149.48771609999994</c:v>
                </c:pt>
                <c:pt idx="10">
                  <c:v>137.24048601414313</c:v>
                </c:pt>
                <c:pt idx="11">
                  <c:v>127.14531567664642</c:v>
                </c:pt>
                <c:pt idx="12">
                  <c:v>118.7186528879439</c:v>
                </c:pt>
                <c:pt idx="13">
                  <c:v>111.58021500818541</c:v>
                </c:pt>
                <c:pt idx="14">
                  <c:v>105.4366546859377</c:v>
                </c:pt>
                <c:pt idx="15">
                  <c:v>100.06658140239358</c:v>
                </c:pt>
                <c:pt idx="16">
                  <c:v>95.306938831099956</c:v>
                </c:pt>
                <c:pt idx="17">
                  <c:v>91.040738013190207</c:v>
                </c:pt>
                <c:pt idx="18">
                  <c:v>87.186146348135139</c:v>
                </c:pt>
                <c:pt idx="19">
                  <c:v>83.686932399999819</c:v>
                </c:pt>
                <c:pt idx="20">
                  <c:v>80.504266519218959</c:v>
                </c:pt>
                <c:pt idx="21">
                  <c:v>77.60987727987856</c:v>
                </c:pt>
                <c:pt idx="22">
                  <c:v>74.980563732511541</c:v>
                </c:pt>
                <c:pt idx="23">
                  <c:v>72.594063472409175</c:v>
                </c:pt>
                <c:pt idx="24">
                  <c:v>70.426276523437878</c:v>
                </c:pt>
                <c:pt idx="25">
                  <c:v>68.449845037369755</c:v>
                </c:pt>
                <c:pt idx="26">
                  <c:v>66.634088808732827</c:v>
                </c:pt>
                <c:pt idx="27">
                  <c:v>64.946296605156363</c:v>
                </c:pt>
                <c:pt idx="28">
                  <c:v>63.354373313259089</c:v>
                </c:pt>
                <c:pt idx="29">
                  <c:v>61.830842899998856</c:v>
                </c:pt>
                <c:pt idx="30">
                  <c:v>60.358207189592918</c:v>
                </c:pt>
                <c:pt idx="31">
                  <c:v>59.271714146126556</c:v>
                </c:pt>
              </c:numCache>
            </c:numRef>
          </c:yVal>
          <c:smooth val="0"/>
        </c:ser>
        <c:dLbls>
          <c:showLegendKey val="0"/>
          <c:showVal val="0"/>
          <c:showCatName val="0"/>
          <c:showSerName val="0"/>
          <c:showPercent val="0"/>
          <c:showBubbleSize val="0"/>
        </c:dLbls>
        <c:axId val="154393984"/>
        <c:axId val="154400256"/>
      </c:scatterChart>
      <c:valAx>
        <c:axId val="154393984"/>
        <c:scaling>
          <c:orientation val="minMax"/>
          <c:max val="32"/>
          <c:min val="5"/>
        </c:scaling>
        <c:delete val="0"/>
        <c:axPos val="b"/>
        <c:title>
          <c:tx>
            <c:rich>
              <a:bodyPr/>
              <a:lstStyle/>
              <a:p>
                <a:pPr>
                  <a:defRPr sz="900" b="1" i="0" u="none" strike="noStrike" baseline="0">
                    <a:solidFill>
                      <a:srgbClr val="000000"/>
                    </a:solidFill>
                    <a:latin typeface="Arial"/>
                    <a:ea typeface="Arial"/>
                    <a:cs typeface="Arial"/>
                  </a:defRPr>
                </a:pPr>
                <a:r>
                  <a:rPr lang="en-US"/>
                  <a:t>Input Voltage (V)</a:t>
                </a:r>
              </a:p>
            </c:rich>
          </c:tx>
          <c:layout>
            <c:manualLayout>
              <c:xMode val="edge"/>
              <c:yMode val="edge"/>
              <c:x val="0.45283018867924529"/>
              <c:y val="0.94967600640828986"/>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400256"/>
        <c:crosses val="autoZero"/>
        <c:crossBetween val="midCat"/>
        <c:majorUnit val="5"/>
      </c:valAx>
      <c:valAx>
        <c:axId val="154400256"/>
        <c:scaling>
          <c:orientation val="minMax"/>
          <c:max val="250"/>
          <c:min val="0"/>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Input Current (mA)</a:t>
                </a:r>
              </a:p>
            </c:rich>
          </c:tx>
          <c:layout>
            <c:manualLayout>
              <c:xMode val="edge"/>
              <c:yMode val="edge"/>
              <c:x val="1.4513788098693759E-2"/>
              <c:y val="0.42370163956778129"/>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393984"/>
        <c:crosses val="autoZero"/>
        <c:crossBetween val="midCat"/>
      </c:valAx>
      <c:spPr>
        <a:solidFill>
          <a:srgbClr val="C0C0C0"/>
        </a:solidFill>
        <a:ln w="12700">
          <a:solidFill>
            <a:srgbClr val="808080"/>
          </a:solidFill>
          <a:prstDash val="solid"/>
        </a:ln>
      </c:spPr>
    </c:plotArea>
    <c:legend>
      <c:legendPos val="r"/>
      <c:layout>
        <c:manualLayout>
          <c:xMode val="edge"/>
          <c:yMode val="edge"/>
          <c:x val="0.71186538867379046"/>
          <c:y val="0.16747994073923517"/>
          <c:w val="0.21327713033679038"/>
          <c:h val="0.1333335450545367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ARC-3 Power Consumption vs. Input Voltage</a:t>
            </a:r>
          </a:p>
        </c:rich>
      </c:tx>
      <c:layout>
        <c:manualLayout>
          <c:xMode val="edge"/>
          <c:yMode val="edge"/>
          <c:x val="0.20609579100145137"/>
          <c:y val="2.7597402597402596E-2"/>
        </c:manualLayout>
      </c:layout>
      <c:overlay val="0"/>
      <c:spPr>
        <a:noFill/>
        <a:ln w="25400">
          <a:noFill/>
        </a:ln>
      </c:spPr>
    </c:title>
    <c:autoTitleDeleted val="0"/>
    <c:plotArea>
      <c:layout>
        <c:manualLayout>
          <c:layoutTarget val="inner"/>
          <c:xMode val="edge"/>
          <c:yMode val="edge"/>
          <c:x val="8.2608812569084825E-2"/>
          <c:y val="0.12584283471167784"/>
          <c:w val="0.87681283516309327"/>
          <c:h val="0.74382104088509582"/>
        </c:manualLayout>
      </c:layout>
      <c:scatterChart>
        <c:scatterStyle val="lineMarker"/>
        <c:varyColors val="0"/>
        <c:ser>
          <c:idx val="0"/>
          <c:order val="0"/>
          <c:tx>
            <c:v>No LEDs</c:v>
          </c:tx>
          <c:spPr>
            <a:ln w="12700">
              <a:solidFill>
                <a:srgbClr val="000080"/>
              </a:solidFill>
              <a:prstDash val="solid"/>
            </a:ln>
          </c:spPr>
          <c:marker>
            <c:symbol val="diamond"/>
            <c:size val="6"/>
            <c:spPr>
              <a:solidFill>
                <a:srgbClr val="000080"/>
              </a:solidFill>
              <a:ln>
                <a:solidFill>
                  <a:srgbClr val="000080"/>
                </a:solidFill>
                <a:prstDash val="solid"/>
              </a:ln>
            </c:spPr>
          </c:marker>
          <c:xVal>
            <c:numRef>
              <c:f>'ARC-3 V-I Curve'!$L$4:$L$34</c:f>
              <c:numCache>
                <c:formatCode>0.0</c:formatCode>
                <c:ptCount val="31"/>
                <c:pt idx="0">
                  <c:v>6</c:v>
                </c:pt>
                <c:pt idx="1">
                  <c:v>6.5</c:v>
                </c:pt>
                <c:pt idx="2">
                  <c:v>7</c:v>
                </c:pt>
                <c:pt idx="3">
                  <c:v>7.5</c:v>
                </c:pt>
                <c:pt idx="4">
                  <c:v>8</c:v>
                </c:pt>
                <c:pt idx="5">
                  <c:v>8.5</c:v>
                </c:pt>
                <c:pt idx="6">
                  <c:v>9</c:v>
                </c:pt>
                <c:pt idx="7">
                  <c:v>9.5</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31.76</c:v>
                </c:pt>
              </c:numCache>
            </c:numRef>
          </c:xVal>
          <c:yVal>
            <c:numRef>
              <c:f>'ARC-3 V-I Curve'!$N$4:$N$34</c:f>
              <c:numCache>
                <c:formatCode>0.00</c:formatCode>
                <c:ptCount val="31"/>
                <c:pt idx="0">
                  <c:v>1.224</c:v>
                </c:pt>
                <c:pt idx="1">
                  <c:v>1.23045</c:v>
                </c:pt>
                <c:pt idx="2">
                  <c:v>1.2368999999999999</c:v>
                </c:pt>
                <c:pt idx="3">
                  <c:v>1.2464999999999999</c:v>
                </c:pt>
                <c:pt idx="4">
                  <c:v>1.248</c:v>
                </c:pt>
                <c:pt idx="5">
                  <c:v>1.2622500000000001</c:v>
                </c:pt>
                <c:pt idx="6">
                  <c:v>1.2653999999999999</c:v>
                </c:pt>
                <c:pt idx="7">
                  <c:v>1.2739500000000001</c:v>
                </c:pt>
                <c:pt idx="8">
                  <c:v>1.28</c:v>
                </c:pt>
                <c:pt idx="9">
                  <c:v>1.2958000000000001</c:v>
                </c:pt>
                <c:pt idx="10">
                  <c:v>1.3104</c:v>
                </c:pt>
                <c:pt idx="11">
                  <c:v>1.3260000000000001</c:v>
                </c:pt>
                <c:pt idx="12">
                  <c:v>1.3440000000000001</c:v>
                </c:pt>
                <c:pt idx="13">
                  <c:v>1.3634999999999999</c:v>
                </c:pt>
                <c:pt idx="14">
                  <c:v>1.3824000000000001</c:v>
                </c:pt>
                <c:pt idx="15">
                  <c:v>1.3991</c:v>
                </c:pt>
                <c:pt idx="16">
                  <c:v>1.4148000000000001</c:v>
                </c:pt>
                <c:pt idx="17">
                  <c:v>1.4326000000000001</c:v>
                </c:pt>
                <c:pt idx="18">
                  <c:v>1.45</c:v>
                </c:pt>
                <c:pt idx="19">
                  <c:v>1.47</c:v>
                </c:pt>
                <c:pt idx="20">
                  <c:v>1.4871999999999999</c:v>
                </c:pt>
                <c:pt idx="21">
                  <c:v>1.5018999999999998</c:v>
                </c:pt>
                <c:pt idx="22">
                  <c:v>1.5215999999999998</c:v>
                </c:pt>
                <c:pt idx="23">
                  <c:v>1.5375000000000001</c:v>
                </c:pt>
                <c:pt idx="24">
                  <c:v>1.5573999999999999</c:v>
                </c:pt>
                <c:pt idx="25">
                  <c:v>1.5740999999999998</c:v>
                </c:pt>
                <c:pt idx="26">
                  <c:v>1.5931999999999999</c:v>
                </c:pt>
                <c:pt idx="27">
                  <c:v>1.6065999999999998</c:v>
                </c:pt>
                <c:pt idx="28">
                  <c:v>1.6259999999999999</c:v>
                </c:pt>
                <c:pt idx="29">
                  <c:v>1.643</c:v>
                </c:pt>
                <c:pt idx="30">
                  <c:v>1.657872</c:v>
                </c:pt>
              </c:numCache>
            </c:numRef>
          </c:yVal>
          <c:smooth val="0"/>
        </c:ser>
        <c:ser>
          <c:idx val="1"/>
          <c:order val="1"/>
          <c:tx>
            <c:v>Fader Full</c:v>
          </c:tx>
          <c:spPr>
            <a:ln w="12700">
              <a:solidFill>
                <a:srgbClr val="FF00FF"/>
              </a:solidFill>
              <a:prstDash val="solid"/>
            </a:ln>
          </c:spPr>
          <c:marker>
            <c:symbol val="square"/>
            <c:size val="5"/>
            <c:spPr>
              <a:solidFill>
                <a:srgbClr val="FF00FF"/>
              </a:solidFill>
              <a:ln>
                <a:solidFill>
                  <a:srgbClr val="FF00FF"/>
                </a:solidFill>
                <a:prstDash val="solid"/>
              </a:ln>
            </c:spPr>
          </c:marker>
          <c:xVal>
            <c:numRef>
              <c:f>'ARC-3 V-I Curve'!$L$4:$L$34</c:f>
              <c:numCache>
                <c:formatCode>0.0</c:formatCode>
                <c:ptCount val="31"/>
                <c:pt idx="0">
                  <c:v>6</c:v>
                </c:pt>
                <c:pt idx="1">
                  <c:v>6.5</c:v>
                </c:pt>
                <c:pt idx="2">
                  <c:v>7</c:v>
                </c:pt>
                <c:pt idx="3">
                  <c:v>7.5</c:v>
                </c:pt>
                <c:pt idx="4">
                  <c:v>8</c:v>
                </c:pt>
                <c:pt idx="5">
                  <c:v>8.5</c:v>
                </c:pt>
                <c:pt idx="6">
                  <c:v>9</c:v>
                </c:pt>
                <c:pt idx="7">
                  <c:v>9.5</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31.76</c:v>
                </c:pt>
              </c:numCache>
            </c:numRef>
          </c:xVal>
          <c:yVal>
            <c:numRef>
              <c:f>'ARC-3 V-I Curve'!$P$4:$P$34</c:f>
              <c:numCache>
                <c:formatCode>0.00</c:formatCode>
                <c:ptCount val="31"/>
                <c:pt idx="0">
                  <c:v>1.3919999999999999</c:v>
                </c:pt>
                <c:pt idx="1">
                  <c:v>1.44625</c:v>
                </c:pt>
                <c:pt idx="2">
                  <c:v>1.4468999999999999</c:v>
                </c:pt>
                <c:pt idx="3">
                  <c:v>1.452</c:v>
                </c:pt>
                <c:pt idx="4">
                  <c:v>1.456</c:v>
                </c:pt>
                <c:pt idx="5">
                  <c:v>1.4688000000000001</c:v>
                </c:pt>
                <c:pt idx="6">
                  <c:v>1.476</c:v>
                </c:pt>
                <c:pt idx="7">
                  <c:v>1.4886499999999998</c:v>
                </c:pt>
                <c:pt idx="8">
                  <c:v>1.496</c:v>
                </c:pt>
                <c:pt idx="9">
                  <c:v>1.5081</c:v>
                </c:pt>
                <c:pt idx="10">
                  <c:v>1.5275999999999998</c:v>
                </c:pt>
                <c:pt idx="11">
                  <c:v>1.5469999999999999</c:v>
                </c:pt>
                <c:pt idx="12">
                  <c:v>1.5652000000000001</c:v>
                </c:pt>
                <c:pt idx="13">
                  <c:v>1.5825</c:v>
                </c:pt>
                <c:pt idx="14">
                  <c:v>1.6032</c:v>
                </c:pt>
                <c:pt idx="15">
                  <c:v>1.6200999999999999</c:v>
                </c:pt>
                <c:pt idx="16">
                  <c:v>1.6343999999999999</c:v>
                </c:pt>
                <c:pt idx="17">
                  <c:v>1.653</c:v>
                </c:pt>
                <c:pt idx="18">
                  <c:v>1.67</c:v>
                </c:pt>
                <c:pt idx="19">
                  <c:v>1.6904999999999999</c:v>
                </c:pt>
                <c:pt idx="20">
                  <c:v>1.7094</c:v>
                </c:pt>
                <c:pt idx="21">
                  <c:v>1.7250000000000001</c:v>
                </c:pt>
                <c:pt idx="22">
                  <c:v>1.7448000000000001</c:v>
                </c:pt>
                <c:pt idx="23">
                  <c:v>1.7625</c:v>
                </c:pt>
                <c:pt idx="24">
                  <c:v>1.7809999999999999</c:v>
                </c:pt>
                <c:pt idx="25">
                  <c:v>1.8009000000000002</c:v>
                </c:pt>
                <c:pt idx="26">
                  <c:v>1.8172000000000004</c:v>
                </c:pt>
                <c:pt idx="27">
                  <c:v>1.8328000000000002</c:v>
                </c:pt>
                <c:pt idx="28">
                  <c:v>1.8540000000000001</c:v>
                </c:pt>
                <c:pt idx="29">
                  <c:v>1.8723999999999998</c:v>
                </c:pt>
                <c:pt idx="30">
                  <c:v>1.8833679999999999</c:v>
                </c:pt>
              </c:numCache>
            </c:numRef>
          </c:yVal>
          <c:smooth val="0"/>
        </c:ser>
        <c:dLbls>
          <c:showLegendKey val="0"/>
          <c:showVal val="0"/>
          <c:showCatName val="0"/>
          <c:showSerName val="0"/>
          <c:showPercent val="0"/>
          <c:showBubbleSize val="0"/>
        </c:dLbls>
        <c:axId val="154503424"/>
        <c:axId val="154505984"/>
      </c:scatterChart>
      <c:valAx>
        <c:axId val="154503424"/>
        <c:scaling>
          <c:orientation val="minMax"/>
          <c:max val="32"/>
          <c:min val="6"/>
        </c:scaling>
        <c:delete val="0"/>
        <c:axPos val="b"/>
        <c:title>
          <c:tx>
            <c:rich>
              <a:bodyPr/>
              <a:lstStyle/>
              <a:p>
                <a:pPr>
                  <a:defRPr sz="900" b="1" i="0" u="none" strike="noStrike" baseline="0">
                    <a:solidFill>
                      <a:srgbClr val="000000"/>
                    </a:solidFill>
                    <a:latin typeface="Arial"/>
                    <a:ea typeface="Arial"/>
                    <a:cs typeface="Arial"/>
                  </a:defRPr>
                </a:pPr>
                <a:r>
                  <a:rPr lang="en-US"/>
                  <a:t>Input Voltage (V)</a:t>
                </a:r>
              </a:p>
            </c:rich>
          </c:tx>
          <c:layout>
            <c:manualLayout>
              <c:xMode val="edge"/>
              <c:yMode val="edge"/>
              <c:x val="0.45283018867924529"/>
              <c:y val="0.94967600640828986"/>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505984"/>
        <c:crosses val="autoZero"/>
        <c:crossBetween val="midCat"/>
        <c:majorUnit val="4"/>
      </c:valAx>
      <c:valAx>
        <c:axId val="154505984"/>
        <c:scaling>
          <c:orientation val="minMax"/>
          <c:max val="2"/>
          <c:min val="1"/>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Power (W)</a:t>
                </a:r>
              </a:p>
            </c:rich>
          </c:tx>
          <c:layout>
            <c:manualLayout>
              <c:xMode val="edge"/>
              <c:yMode val="edge"/>
              <c:x val="1.4513788098693759E-2"/>
              <c:y val="0.42370163956778129"/>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503424"/>
        <c:crosses val="autoZero"/>
        <c:crossBetween val="midCat"/>
        <c:majorUnit val="0.1"/>
        <c:minorUnit val="0.1"/>
      </c:valAx>
      <c:spPr>
        <a:solidFill>
          <a:srgbClr val="C0C0C0"/>
        </a:solidFill>
        <a:ln w="12700">
          <a:solidFill>
            <a:srgbClr val="808080"/>
          </a:solidFill>
          <a:prstDash val="solid"/>
        </a:ln>
      </c:spPr>
    </c:plotArea>
    <c:legend>
      <c:legendPos val="r"/>
      <c:layout>
        <c:manualLayout>
          <c:xMode val="edge"/>
          <c:yMode val="edge"/>
          <c:x val="0.74203003570827064"/>
          <c:y val="0.58651749749549853"/>
          <c:w val="0.21884088943740013"/>
          <c:h val="0.1842698651135282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Expansion Panel Maximum Current Consumption vs. Input Voltage</a:t>
            </a:r>
          </a:p>
        </c:rich>
      </c:tx>
      <c:layout>
        <c:manualLayout>
          <c:xMode val="edge"/>
          <c:yMode val="edge"/>
          <c:x val="0.15965166908563136"/>
          <c:y val="2.7597402597402596E-2"/>
        </c:manualLayout>
      </c:layout>
      <c:overlay val="0"/>
      <c:spPr>
        <a:noFill/>
        <a:ln w="25400">
          <a:noFill/>
        </a:ln>
      </c:spPr>
    </c:title>
    <c:autoTitleDeleted val="0"/>
    <c:plotArea>
      <c:layout>
        <c:manualLayout>
          <c:layoutTarget val="inner"/>
          <c:xMode val="edge"/>
          <c:yMode val="edge"/>
          <c:x val="7.8374455732946297E-2"/>
          <c:y val="0.1250000990831244"/>
          <c:w val="0.88098693759071123"/>
          <c:h val="0.78084477479198489"/>
        </c:manualLayout>
      </c:layout>
      <c:scatterChart>
        <c:scatterStyle val="lineMarker"/>
        <c:varyColors val="0"/>
        <c:ser>
          <c:idx val="0"/>
          <c:order val="0"/>
          <c:tx>
            <c:v>Measured</c:v>
          </c:tx>
          <c:spPr>
            <a:ln w="25400">
              <a:solidFill>
                <a:srgbClr val="000080"/>
              </a:solidFill>
              <a:prstDash val="solid"/>
            </a:ln>
          </c:spPr>
          <c:marker>
            <c:symbol val="diamond"/>
            <c:size val="6"/>
            <c:spPr>
              <a:solidFill>
                <a:srgbClr val="000080"/>
              </a:solidFill>
              <a:ln>
                <a:solidFill>
                  <a:srgbClr val="000080"/>
                </a:solidFill>
                <a:prstDash val="solid"/>
              </a:ln>
            </c:spPr>
          </c:marker>
          <c:xVal>
            <c:numRef>
              <c:f>'Exp. Panel ARC V-I Curve'!$L$3:$L$14</c:f>
              <c:numCache>
                <c:formatCode>0.0</c:formatCode>
                <c:ptCount val="12"/>
                <c:pt idx="0">
                  <c:v>7.46</c:v>
                </c:pt>
                <c:pt idx="1">
                  <c:v>8.0299999999999994</c:v>
                </c:pt>
                <c:pt idx="2">
                  <c:v>9.02</c:v>
                </c:pt>
                <c:pt idx="3">
                  <c:v>9.98</c:v>
                </c:pt>
                <c:pt idx="4">
                  <c:v>11</c:v>
                </c:pt>
                <c:pt idx="5">
                  <c:v>12.98</c:v>
                </c:pt>
                <c:pt idx="6">
                  <c:v>15.02</c:v>
                </c:pt>
                <c:pt idx="7">
                  <c:v>17.98</c:v>
                </c:pt>
                <c:pt idx="8">
                  <c:v>21</c:v>
                </c:pt>
                <c:pt idx="9">
                  <c:v>23.99</c:v>
                </c:pt>
                <c:pt idx="10">
                  <c:v>27.99</c:v>
                </c:pt>
                <c:pt idx="11">
                  <c:v>31.74</c:v>
                </c:pt>
              </c:numCache>
            </c:numRef>
          </c:xVal>
          <c:yVal>
            <c:numRef>
              <c:f>'Exp. Panel ARC V-I Curve'!$M$3:$M$14</c:f>
              <c:numCache>
                <c:formatCode>0.00</c:formatCode>
                <c:ptCount val="12"/>
                <c:pt idx="0">
                  <c:v>59.300402144772114</c:v>
                </c:pt>
                <c:pt idx="1">
                  <c:v>54.609838107098383</c:v>
                </c:pt>
                <c:pt idx="2">
                  <c:v>47.96567627494457</c:v>
                </c:pt>
                <c:pt idx="3">
                  <c:v>42.7</c:v>
                </c:pt>
                <c:pt idx="4">
                  <c:v>38.310378787878783</c:v>
                </c:pt>
                <c:pt idx="5">
                  <c:v>31.888983050847465</c:v>
                </c:pt>
                <c:pt idx="6">
                  <c:v>27.321848646249446</c:v>
                </c:pt>
                <c:pt idx="7">
                  <c:v>22.530431961438637</c:v>
                </c:pt>
                <c:pt idx="8">
                  <c:v>19.091396825396828</c:v>
                </c:pt>
                <c:pt idx="9">
                  <c:v>16.852355147978322</c:v>
                </c:pt>
                <c:pt idx="10">
                  <c:v>14.195045849708229</c:v>
                </c:pt>
                <c:pt idx="11">
                  <c:v>12.443226212980468</c:v>
                </c:pt>
              </c:numCache>
            </c:numRef>
          </c:yVal>
          <c:smooth val="0"/>
        </c:ser>
        <c:ser>
          <c:idx val="1"/>
          <c:order val="1"/>
          <c:tx>
            <c:v>Modeled</c:v>
          </c:tx>
          <c:spPr>
            <a:ln w="25400">
              <a:solidFill>
                <a:srgbClr val="FFCC00"/>
              </a:solidFill>
              <a:prstDash val="sysDash"/>
            </a:ln>
          </c:spPr>
          <c:marker>
            <c:symbol val="none"/>
          </c:marker>
          <c:xVal>
            <c:numRef>
              <c:f>'Exp. Panel ARC V-I Curve'!$L$3:$L$14</c:f>
              <c:numCache>
                <c:formatCode>0.0</c:formatCode>
                <c:ptCount val="12"/>
                <c:pt idx="0">
                  <c:v>7.46</c:v>
                </c:pt>
                <c:pt idx="1">
                  <c:v>8.0299999999999994</c:v>
                </c:pt>
                <c:pt idx="2">
                  <c:v>9.02</c:v>
                </c:pt>
                <c:pt idx="3">
                  <c:v>9.98</c:v>
                </c:pt>
                <c:pt idx="4">
                  <c:v>11</c:v>
                </c:pt>
                <c:pt idx="5">
                  <c:v>12.98</c:v>
                </c:pt>
                <c:pt idx="6">
                  <c:v>15.02</c:v>
                </c:pt>
                <c:pt idx="7">
                  <c:v>17.98</c:v>
                </c:pt>
                <c:pt idx="8">
                  <c:v>21</c:v>
                </c:pt>
                <c:pt idx="9">
                  <c:v>23.99</c:v>
                </c:pt>
                <c:pt idx="10">
                  <c:v>27.99</c:v>
                </c:pt>
                <c:pt idx="11">
                  <c:v>31.74</c:v>
                </c:pt>
              </c:numCache>
            </c:numRef>
          </c:xVal>
          <c:yVal>
            <c:numRef>
              <c:f>'Exp. Panel ARC V-I Curve'!$Q$3:$Q$14</c:f>
              <c:numCache>
                <c:formatCode>0.0</c:formatCode>
                <c:ptCount val="12"/>
                <c:pt idx="0">
                  <c:v>58.597228052969797</c:v>
                </c:pt>
                <c:pt idx="1">
                  <c:v>54.133506406362947</c:v>
                </c:pt>
                <c:pt idx="2">
                  <c:v>47.767398574807196</c:v>
                </c:pt>
                <c:pt idx="3">
                  <c:v>42.841425743659542</c:v>
                </c:pt>
                <c:pt idx="4">
                  <c:v>38.581988586314033</c:v>
                </c:pt>
                <c:pt idx="5">
                  <c:v>32.287220153250672</c:v>
                </c:pt>
                <c:pt idx="6">
                  <c:v>27.593673136925243</c:v>
                </c:pt>
                <c:pt idx="7">
                  <c:v>22.737513638925421</c:v>
                </c:pt>
                <c:pt idx="8">
                  <c:v>19.238905163001423</c:v>
                </c:pt>
                <c:pt idx="9">
                  <c:v>16.671266713551805</c:v>
                </c:pt>
                <c:pt idx="10">
                  <c:v>14.122049291881943</c:v>
                </c:pt>
                <c:pt idx="11">
                  <c:v>12.334939461418006</c:v>
                </c:pt>
              </c:numCache>
            </c:numRef>
          </c:yVal>
          <c:smooth val="1"/>
        </c:ser>
        <c:dLbls>
          <c:showLegendKey val="0"/>
          <c:showVal val="0"/>
          <c:showCatName val="0"/>
          <c:showSerName val="0"/>
          <c:showPercent val="0"/>
          <c:showBubbleSize val="0"/>
        </c:dLbls>
        <c:axId val="155073536"/>
        <c:axId val="155079808"/>
      </c:scatterChart>
      <c:valAx>
        <c:axId val="155073536"/>
        <c:scaling>
          <c:orientation val="minMax"/>
          <c:max val="32"/>
          <c:min val="5"/>
        </c:scaling>
        <c:delete val="0"/>
        <c:axPos val="b"/>
        <c:title>
          <c:tx>
            <c:rich>
              <a:bodyPr/>
              <a:lstStyle/>
              <a:p>
                <a:pPr>
                  <a:defRPr sz="900" b="1" i="0" u="none" strike="noStrike" baseline="0">
                    <a:solidFill>
                      <a:srgbClr val="000000"/>
                    </a:solidFill>
                    <a:latin typeface="Arial"/>
                    <a:ea typeface="Arial"/>
                    <a:cs typeface="Arial"/>
                  </a:defRPr>
                </a:pPr>
                <a:r>
                  <a:rPr lang="en-US"/>
                  <a:t>Input Voltage (V)</a:t>
                </a:r>
              </a:p>
            </c:rich>
          </c:tx>
          <c:layout>
            <c:manualLayout>
              <c:xMode val="edge"/>
              <c:yMode val="edge"/>
              <c:x val="0.44847605224963716"/>
              <c:y val="0.94967600640828986"/>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5079808"/>
        <c:crosses val="autoZero"/>
        <c:crossBetween val="midCat"/>
      </c:valAx>
      <c:valAx>
        <c:axId val="155079808"/>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Input Current (mA)</a:t>
                </a:r>
              </a:p>
            </c:rich>
          </c:tx>
          <c:layout>
            <c:manualLayout>
              <c:xMode val="edge"/>
              <c:yMode val="edge"/>
              <c:x val="1.4513788098693759E-2"/>
              <c:y val="0.426948392814534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5073536"/>
        <c:crosses val="autoZero"/>
        <c:crossBetween val="midCat"/>
      </c:valAx>
      <c:spPr>
        <a:solidFill>
          <a:srgbClr val="C0C0C0"/>
        </a:solidFill>
        <a:ln w="12700">
          <a:solidFill>
            <a:srgbClr val="808080"/>
          </a:solidFill>
          <a:prstDash val="solid"/>
        </a:ln>
      </c:spPr>
    </c:plotArea>
    <c:legend>
      <c:legendPos val="r"/>
      <c:layout>
        <c:manualLayout>
          <c:xMode val="edge"/>
          <c:yMode val="edge"/>
          <c:x val="0.67053701015965161"/>
          <c:y val="0.17370129870129869"/>
          <c:w val="0.17271407837445574"/>
          <c:h val="7.792207792207792E-2"/>
        </c:manualLayout>
      </c:layout>
      <c:overlay val="0"/>
      <c:spPr>
        <a:solidFill>
          <a:srgbClr val="FFFFFF"/>
        </a:solidFill>
        <a:ln w="3175">
          <a:solidFill>
            <a:srgbClr val="000000"/>
          </a:solidFill>
          <a:prstDash val="solid"/>
        </a:ln>
      </c:spPr>
      <c:txPr>
        <a:bodyPr/>
        <a:lstStyle/>
        <a:p>
          <a:pPr>
            <a:defRPr sz="10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ARC-2/2i Maximum Current Consumption vs. Input Voltage</a:t>
            </a:r>
          </a:p>
        </c:rich>
      </c:tx>
      <c:layout>
        <c:manualLayout>
          <c:xMode val="edge"/>
          <c:yMode val="edge"/>
          <c:x val="0.20174165457184326"/>
          <c:y val="2.7597402597402596E-2"/>
        </c:manualLayout>
      </c:layout>
      <c:overlay val="0"/>
      <c:spPr>
        <a:noFill/>
        <a:ln w="25400">
          <a:noFill/>
        </a:ln>
      </c:spPr>
    </c:title>
    <c:autoTitleDeleted val="0"/>
    <c:plotArea>
      <c:layout>
        <c:manualLayout>
          <c:layoutTarget val="inner"/>
          <c:xMode val="edge"/>
          <c:yMode val="edge"/>
          <c:x val="8.7082728592162553E-2"/>
          <c:y val="0.1250000990831244"/>
          <c:w val="0.87227866473149496"/>
          <c:h val="0.78084477479198489"/>
        </c:manualLayout>
      </c:layout>
      <c:scatterChart>
        <c:scatterStyle val="lineMarker"/>
        <c:varyColors val="0"/>
        <c:ser>
          <c:idx val="0"/>
          <c:order val="0"/>
          <c:tx>
            <c:v>Measured</c:v>
          </c:tx>
          <c:spPr>
            <a:ln w="25400">
              <a:solidFill>
                <a:srgbClr val="000080"/>
              </a:solidFill>
              <a:prstDash val="solid"/>
            </a:ln>
          </c:spPr>
          <c:marker>
            <c:symbol val="diamond"/>
            <c:size val="6"/>
            <c:spPr>
              <a:solidFill>
                <a:srgbClr val="000080"/>
              </a:solidFill>
              <a:ln>
                <a:solidFill>
                  <a:srgbClr val="000080"/>
                </a:solidFill>
                <a:prstDash val="solid"/>
              </a:ln>
            </c:spPr>
          </c:marker>
          <c:xVal>
            <c:numRef>
              <c:f>'ARC-2 V-I Curve'!$L$3:$L$30</c:f>
              <c:numCache>
                <c:formatCode>0.0</c:formatCode>
                <c:ptCount val="28"/>
                <c:pt idx="0">
                  <c:v>7.52</c:v>
                </c:pt>
                <c:pt idx="1">
                  <c:v>8.01</c:v>
                </c:pt>
                <c:pt idx="2">
                  <c:v>8.49</c:v>
                </c:pt>
                <c:pt idx="3">
                  <c:v>9.01</c:v>
                </c:pt>
                <c:pt idx="4">
                  <c:v>9.51</c:v>
                </c:pt>
                <c:pt idx="5">
                  <c:v>10.02</c:v>
                </c:pt>
                <c:pt idx="6">
                  <c:v>10.99</c:v>
                </c:pt>
                <c:pt idx="7">
                  <c:v>12.03</c:v>
                </c:pt>
                <c:pt idx="8">
                  <c:v>13.01</c:v>
                </c:pt>
                <c:pt idx="9">
                  <c:v>14</c:v>
                </c:pt>
                <c:pt idx="10">
                  <c:v>14.99</c:v>
                </c:pt>
                <c:pt idx="11">
                  <c:v>16.010000000000002</c:v>
                </c:pt>
                <c:pt idx="12">
                  <c:v>17.02</c:v>
                </c:pt>
                <c:pt idx="13">
                  <c:v>17.989999999999998</c:v>
                </c:pt>
                <c:pt idx="14">
                  <c:v>19.010000000000002</c:v>
                </c:pt>
                <c:pt idx="15">
                  <c:v>19.97</c:v>
                </c:pt>
                <c:pt idx="16">
                  <c:v>20.97</c:v>
                </c:pt>
                <c:pt idx="17">
                  <c:v>22</c:v>
                </c:pt>
                <c:pt idx="18">
                  <c:v>23</c:v>
                </c:pt>
                <c:pt idx="19">
                  <c:v>23.98</c:v>
                </c:pt>
                <c:pt idx="20">
                  <c:v>24.98</c:v>
                </c:pt>
                <c:pt idx="21">
                  <c:v>26</c:v>
                </c:pt>
                <c:pt idx="22">
                  <c:v>27.01</c:v>
                </c:pt>
                <c:pt idx="23">
                  <c:v>27.99</c:v>
                </c:pt>
                <c:pt idx="24">
                  <c:v>29.01</c:v>
                </c:pt>
                <c:pt idx="25">
                  <c:v>29.98</c:v>
                </c:pt>
                <c:pt idx="26">
                  <c:v>30.99</c:v>
                </c:pt>
                <c:pt idx="27">
                  <c:v>31.74</c:v>
                </c:pt>
              </c:numCache>
            </c:numRef>
          </c:xVal>
          <c:yVal>
            <c:numRef>
              <c:f>'ARC-2 V-I Curve'!$M$3:$M$30</c:f>
              <c:numCache>
                <c:formatCode>0.0</c:formatCode>
                <c:ptCount val="28"/>
                <c:pt idx="0">
                  <c:v>227</c:v>
                </c:pt>
                <c:pt idx="1">
                  <c:v>213</c:v>
                </c:pt>
                <c:pt idx="2">
                  <c:v>202</c:v>
                </c:pt>
                <c:pt idx="3">
                  <c:v>191</c:v>
                </c:pt>
                <c:pt idx="4">
                  <c:v>179</c:v>
                </c:pt>
                <c:pt idx="5">
                  <c:v>170.2</c:v>
                </c:pt>
                <c:pt idx="6">
                  <c:v>154.19999999999999</c:v>
                </c:pt>
                <c:pt idx="7">
                  <c:v>140.19999999999999</c:v>
                </c:pt>
                <c:pt idx="8">
                  <c:v>129.1</c:v>
                </c:pt>
                <c:pt idx="9">
                  <c:v>119.9</c:v>
                </c:pt>
                <c:pt idx="10">
                  <c:v>111.7</c:v>
                </c:pt>
                <c:pt idx="11">
                  <c:v>104.4</c:v>
                </c:pt>
                <c:pt idx="12">
                  <c:v>98.4</c:v>
                </c:pt>
                <c:pt idx="13">
                  <c:v>92.7</c:v>
                </c:pt>
                <c:pt idx="14">
                  <c:v>88.4</c:v>
                </c:pt>
                <c:pt idx="15">
                  <c:v>83.6</c:v>
                </c:pt>
                <c:pt idx="16">
                  <c:v>79.900000000000006</c:v>
                </c:pt>
                <c:pt idx="17">
                  <c:v>76.2</c:v>
                </c:pt>
                <c:pt idx="18">
                  <c:v>72.900000000000006</c:v>
                </c:pt>
                <c:pt idx="19">
                  <c:v>69.8</c:v>
                </c:pt>
                <c:pt idx="20">
                  <c:v>67.099999999999994</c:v>
                </c:pt>
                <c:pt idx="21">
                  <c:v>64.5</c:v>
                </c:pt>
                <c:pt idx="22">
                  <c:v>62</c:v>
                </c:pt>
                <c:pt idx="23">
                  <c:v>59.9</c:v>
                </c:pt>
                <c:pt idx="24">
                  <c:v>57.9</c:v>
                </c:pt>
                <c:pt idx="25">
                  <c:v>56</c:v>
                </c:pt>
                <c:pt idx="26">
                  <c:v>54.1</c:v>
                </c:pt>
                <c:pt idx="27">
                  <c:v>53</c:v>
                </c:pt>
              </c:numCache>
            </c:numRef>
          </c:yVal>
          <c:smooth val="0"/>
        </c:ser>
        <c:ser>
          <c:idx val="1"/>
          <c:order val="1"/>
          <c:tx>
            <c:v>Modeled</c:v>
          </c:tx>
          <c:spPr>
            <a:ln w="25400">
              <a:solidFill>
                <a:srgbClr val="FFCC00"/>
              </a:solidFill>
              <a:prstDash val="sysDash"/>
            </a:ln>
          </c:spPr>
          <c:marker>
            <c:symbol val="none"/>
          </c:marker>
          <c:xVal>
            <c:numRef>
              <c:f>'ARC-2 V-I Curve'!$L$3:$L$30</c:f>
              <c:numCache>
                <c:formatCode>0.0</c:formatCode>
                <c:ptCount val="28"/>
                <c:pt idx="0">
                  <c:v>7.52</c:v>
                </c:pt>
                <c:pt idx="1">
                  <c:v>8.01</c:v>
                </c:pt>
                <c:pt idx="2">
                  <c:v>8.49</c:v>
                </c:pt>
                <c:pt idx="3">
                  <c:v>9.01</c:v>
                </c:pt>
                <c:pt idx="4">
                  <c:v>9.51</c:v>
                </c:pt>
                <c:pt idx="5">
                  <c:v>10.02</c:v>
                </c:pt>
                <c:pt idx="6">
                  <c:v>10.99</c:v>
                </c:pt>
                <c:pt idx="7">
                  <c:v>12.03</c:v>
                </c:pt>
                <c:pt idx="8">
                  <c:v>13.01</c:v>
                </c:pt>
                <c:pt idx="9">
                  <c:v>14</c:v>
                </c:pt>
                <c:pt idx="10">
                  <c:v>14.99</c:v>
                </c:pt>
                <c:pt idx="11">
                  <c:v>16.010000000000002</c:v>
                </c:pt>
                <c:pt idx="12">
                  <c:v>17.02</c:v>
                </c:pt>
                <c:pt idx="13">
                  <c:v>17.989999999999998</c:v>
                </c:pt>
                <c:pt idx="14">
                  <c:v>19.010000000000002</c:v>
                </c:pt>
                <c:pt idx="15">
                  <c:v>19.97</c:v>
                </c:pt>
                <c:pt idx="16">
                  <c:v>20.97</c:v>
                </c:pt>
                <c:pt idx="17">
                  <c:v>22</c:v>
                </c:pt>
                <c:pt idx="18">
                  <c:v>23</c:v>
                </c:pt>
                <c:pt idx="19">
                  <c:v>23.98</c:v>
                </c:pt>
                <c:pt idx="20">
                  <c:v>24.98</c:v>
                </c:pt>
                <c:pt idx="21">
                  <c:v>26</c:v>
                </c:pt>
                <c:pt idx="22">
                  <c:v>27.01</c:v>
                </c:pt>
                <c:pt idx="23">
                  <c:v>27.99</c:v>
                </c:pt>
                <c:pt idx="24">
                  <c:v>29.01</c:v>
                </c:pt>
                <c:pt idx="25">
                  <c:v>29.98</c:v>
                </c:pt>
                <c:pt idx="26">
                  <c:v>30.99</c:v>
                </c:pt>
                <c:pt idx="27">
                  <c:v>31.74</c:v>
                </c:pt>
              </c:numCache>
            </c:numRef>
          </c:xVal>
          <c:yVal>
            <c:numRef>
              <c:f>'ARC-2 V-I Curve'!$Q$3:$Q$30</c:f>
              <c:numCache>
                <c:formatCode>0.0</c:formatCode>
                <c:ptCount val="28"/>
                <c:pt idx="0">
                  <c:v>226.67857593400743</c:v>
                </c:pt>
                <c:pt idx="1">
                  <c:v>212.61419482521072</c:v>
                </c:pt>
                <c:pt idx="2">
                  <c:v>200.42183374746983</c:v>
                </c:pt>
                <c:pt idx="3">
                  <c:v>188.68957353194281</c:v>
                </c:pt>
                <c:pt idx="4">
                  <c:v>178.62691948766883</c:v>
                </c:pt>
                <c:pt idx="5">
                  <c:v>169.4048143278055</c:v>
                </c:pt>
                <c:pt idx="6">
                  <c:v>154.24285820640833</c:v>
                </c:pt>
                <c:pt idx="7">
                  <c:v>140.72106246004907</c:v>
                </c:pt>
                <c:pt idx="8">
                  <c:v>129.97109696908183</c:v>
                </c:pt>
                <c:pt idx="9">
                  <c:v>120.64996560769143</c:v>
                </c:pt>
                <c:pt idx="10">
                  <c:v>112.56848208079838</c:v>
                </c:pt>
                <c:pt idx="11">
                  <c:v>105.29464155134445</c:v>
                </c:pt>
                <c:pt idx="12">
                  <c:v>98.95710065277342</c:v>
                </c:pt>
                <c:pt idx="13">
                  <c:v>93.545095078611936</c:v>
                </c:pt>
                <c:pt idx="14">
                  <c:v>88.454006549348549</c:v>
                </c:pt>
                <c:pt idx="15">
                  <c:v>84.140795332014704</c:v>
                </c:pt>
                <c:pt idx="16">
                  <c:v>80.070747604604279</c:v>
                </c:pt>
                <c:pt idx="17">
                  <c:v>76.268130345612008</c:v>
                </c:pt>
                <c:pt idx="18">
                  <c:v>72.904405532415581</c:v>
                </c:pt>
                <c:pt idx="19">
                  <c:v>69.882057650552852</c:v>
                </c:pt>
                <c:pt idx="20">
                  <c:v>67.044205431719107</c:v>
                </c:pt>
                <c:pt idx="21">
                  <c:v>64.376073943262426</c:v>
                </c:pt>
                <c:pt idx="22">
                  <c:v>61.93406944593584</c:v>
                </c:pt>
                <c:pt idx="23">
                  <c:v>59.734256388416526</c:v>
                </c:pt>
                <c:pt idx="24">
                  <c:v>57.603624598646434</c:v>
                </c:pt>
                <c:pt idx="25">
                  <c:v>55.712885571969302</c:v>
                </c:pt>
                <c:pt idx="26">
                  <c:v>53.870857053236463</c:v>
                </c:pt>
                <c:pt idx="27">
                  <c:v>52.579404910995734</c:v>
                </c:pt>
              </c:numCache>
            </c:numRef>
          </c:yVal>
          <c:smooth val="0"/>
        </c:ser>
        <c:dLbls>
          <c:showLegendKey val="0"/>
          <c:showVal val="0"/>
          <c:showCatName val="0"/>
          <c:showSerName val="0"/>
          <c:showPercent val="0"/>
          <c:showBubbleSize val="0"/>
        </c:dLbls>
        <c:axId val="155133056"/>
        <c:axId val="155134976"/>
      </c:scatterChart>
      <c:valAx>
        <c:axId val="155133056"/>
        <c:scaling>
          <c:orientation val="minMax"/>
          <c:max val="32"/>
          <c:min val="5"/>
        </c:scaling>
        <c:delete val="0"/>
        <c:axPos val="b"/>
        <c:title>
          <c:tx>
            <c:rich>
              <a:bodyPr/>
              <a:lstStyle/>
              <a:p>
                <a:pPr>
                  <a:defRPr sz="900" b="1" i="0" u="none" strike="noStrike" baseline="0">
                    <a:solidFill>
                      <a:srgbClr val="000000"/>
                    </a:solidFill>
                    <a:latin typeface="Arial"/>
                    <a:ea typeface="Arial"/>
                    <a:cs typeface="Arial"/>
                  </a:defRPr>
                </a:pPr>
                <a:r>
                  <a:rPr lang="en-US"/>
                  <a:t>Input Voltage (V)</a:t>
                </a:r>
              </a:p>
            </c:rich>
          </c:tx>
          <c:layout>
            <c:manualLayout>
              <c:xMode val="edge"/>
              <c:yMode val="edge"/>
              <c:x val="0.45283018867924529"/>
              <c:y val="0.94967600640828986"/>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5134976"/>
        <c:crosses val="autoZero"/>
        <c:crossBetween val="midCat"/>
      </c:valAx>
      <c:valAx>
        <c:axId val="155134976"/>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Input Current (mA)</a:t>
                </a:r>
              </a:p>
            </c:rich>
          </c:tx>
          <c:layout>
            <c:manualLayout>
              <c:xMode val="edge"/>
              <c:yMode val="edge"/>
              <c:x val="1.4513788098693759E-2"/>
              <c:y val="0.426948392814534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5133056"/>
        <c:crosses val="autoZero"/>
        <c:crossBetween val="midCat"/>
      </c:valAx>
      <c:spPr>
        <a:solidFill>
          <a:srgbClr val="C0C0C0"/>
        </a:solidFill>
        <a:ln w="12700">
          <a:solidFill>
            <a:srgbClr val="808080"/>
          </a:solidFill>
          <a:prstDash val="solid"/>
        </a:ln>
      </c:spPr>
    </c:plotArea>
    <c:legend>
      <c:legendPos val="r"/>
      <c:layout>
        <c:manualLayout>
          <c:xMode val="edge"/>
          <c:yMode val="edge"/>
          <c:x val="0.7053701015965167"/>
          <c:y val="0.17207805847806737"/>
          <c:w val="0.17271407837445574"/>
          <c:h val="7.7922139688181444E-2"/>
        </c:manualLayout>
      </c:layout>
      <c:overlay val="0"/>
      <c:spPr>
        <a:solidFill>
          <a:srgbClr val="FFFFFF"/>
        </a:solidFill>
        <a:ln w="3175">
          <a:solidFill>
            <a:srgbClr val="000000"/>
          </a:solidFill>
          <a:prstDash val="solid"/>
        </a:ln>
      </c:spPr>
      <c:txPr>
        <a:bodyPr/>
        <a:lstStyle/>
        <a:p>
          <a:pPr>
            <a:defRPr sz="10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ARC Maximum Current Consumption vs. Input Voltage</a:t>
            </a:r>
          </a:p>
        </c:rich>
      </c:tx>
      <c:layout>
        <c:manualLayout>
          <c:xMode val="edge"/>
          <c:yMode val="edge"/>
          <c:x val="0.21976432149521133"/>
          <c:y val="2.7508090614886731E-2"/>
        </c:manualLayout>
      </c:layout>
      <c:overlay val="0"/>
      <c:spPr>
        <a:noFill/>
        <a:ln w="25400">
          <a:noFill/>
        </a:ln>
      </c:spPr>
    </c:title>
    <c:autoTitleDeleted val="0"/>
    <c:plotArea>
      <c:layout>
        <c:manualLayout>
          <c:layoutTarget val="inner"/>
          <c:xMode val="edge"/>
          <c:yMode val="edge"/>
          <c:x val="0.10029512971159676"/>
          <c:y val="8.4142527783879109E-2"/>
          <c:w val="0.87315759984213659"/>
          <c:h val="0.81229901822129447"/>
        </c:manualLayout>
      </c:layout>
      <c:scatterChart>
        <c:scatterStyle val="smoothMarker"/>
        <c:varyColors val="0"/>
        <c:ser>
          <c:idx val="0"/>
          <c:order val="0"/>
          <c:tx>
            <c:v>Measured</c:v>
          </c:tx>
          <c:spPr>
            <a:ln w="25400">
              <a:solidFill>
                <a:srgbClr val="000080"/>
              </a:solidFill>
              <a:prstDash val="solid"/>
            </a:ln>
          </c:spPr>
          <c:marker>
            <c:symbol val="diamond"/>
            <c:size val="6"/>
            <c:spPr>
              <a:solidFill>
                <a:srgbClr val="000080"/>
              </a:solidFill>
              <a:ln>
                <a:solidFill>
                  <a:srgbClr val="000080"/>
                </a:solidFill>
                <a:prstDash val="solid"/>
              </a:ln>
            </c:spPr>
          </c:marker>
          <c:xVal>
            <c:numRef>
              <c:f>'ARC V-I Curve'!$L$3:$L$26</c:f>
              <c:numCache>
                <c:formatCode>0.0</c:formatCode>
                <c:ptCount val="24"/>
                <c:pt idx="0">
                  <c:v>3.64</c:v>
                </c:pt>
                <c:pt idx="1">
                  <c:v>4</c:v>
                </c:pt>
                <c:pt idx="2">
                  <c:v>4.5</c:v>
                </c:pt>
                <c:pt idx="3">
                  <c:v>5</c:v>
                </c:pt>
                <c:pt idx="4">
                  <c:v>5.5</c:v>
                </c:pt>
                <c:pt idx="5">
                  <c:v>6</c:v>
                </c:pt>
                <c:pt idx="6">
                  <c:v>6.5</c:v>
                </c:pt>
                <c:pt idx="7">
                  <c:v>7</c:v>
                </c:pt>
                <c:pt idx="8">
                  <c:v>7.5</c:v>
                </c:pt>
                <c:pt idx="9">
                  <c:v>8</c:v>
                </c:pt>
                <c:pt idx="10">
                  <c:v>8.5</c:v>
                </c:pt>
                <c:pt idx="11">
                  <c:v>9</c:v>
                </c:pt>
                <c:pt idx="12">
                  <c:v>9.5</c:v>
                </c:pt>
                <c:pt idx="13">
                  <c:v>10</c:v>
                </c:pt>
                <c:pt idx="14">
                  <c:v>10.5</c:v>
                </c:pt>
                <c:pt idx="15">
                  <c:v>11</c:v>
                </c:pt>
                <c:pt idx="16">
                  <c:v>11.5</c:v>
                </c:pt>
                <c:pt idx="17">
                  <c:v>12</c:v>
                </c:pt>
                <c:pt idx="18">
                  <c:v>12.5</c:v>
                </c:pt>
                <c:pt idx="19">
                  <c:v>13</c:v>
                </c:pt>
                <c:pt idx="20">
                  <c:v>13.5</c:v>
                </c:pt>
                <c:pt idx="21">
                  <c:v>14</c:v>
                </c:pt>
                <c:pt idx="22">
                  <c:v>14.5</c:v>
                </c:pt>
                <c:pt idx="23">
                  <c:v>15</c:v>
                </c:pt>
              </c:numCache>
            </c:numRef>
          </c:xVal>
          <c:yVal>
            <c:numRef>
              <c:f>'ARC V-I Curve'!$M$3:$M$26</c:f>
              <c:numCache>
                <c:formatCode>0.0</c:formatCode>
                <c:ptCount val="24"/>
                <c:pt idx="0">
                  <c:v>523</c:v>
                </c:pt>
                <c:pt idx="1">
                  <c:v>480</c:v>
                </c:pt>
                <c:pt idx="2">
                  <c:v>415</c:v>
                </c:pt>
                <c:pt idx="3">
                  <c:v>365</c:v>
                </c:pt>
                <c:pt idx="4">
                  <c:v>326</c:v>
                </c:pt>
                <c:pt idx="5">
                  <c:v>292</c:v>
                </c:pt>
                <c:pt idx="6">
                  <c:v>266</c:v>
                </c:pt>
                <c:pt idx="7">
                  <c:v>246</c:v>
                </c:pt>
                <c:pt idx="8">
                  <c:v>228</c:v>
                </c:pt>
                <c:pt idx="9">
                  <c:v>213</c:v>
                </c:pt>
                <c:pt idx="10">
                  <c:v>200</c:v>
                </c:pt>
                <c:pt idx="11">
                  <c:v>189</c:v>
                </c:pt>
                <c:pt idx="12">
                  <c:v>179</c:v>
                </c:pt>
                <c:pt idx="13">
                  <c:v>168</c:v>
                </c:pt>
                <c:pt idx="14">
                  <c:v>161</c:v>
                </c:pt>
                <c:pt idx="15">
                  <c:v>153</c:v>
                </c:pt>
                <c:pt idx="16">
                  <c:v>147.5</c:v>
                </c:pt>
                <c:pt idx="17">
                  <c:v>141</c:v>
                </c:pt>
                <c:pt idx="18">
                  <c:v>136.5</c:v>
                </c:pt>
                <c:pt idx="19">
                  <c:v>132</c:v>
                </c:pt>
                <c:pt idx="20">
                  <c:v>127</c:v>
                </c:pt>
                <c:pt idx="21">
                  <c:v>124</c:v>
                </c:pt>
                <c:pt idx="22">
                  <c:v>120.5</c:v>
                </c:pt>
                <c:pt idx="23">
                  <c:v>117</c:v>
                </c:pt>
              </c:numCache>
            </c:numRef>
          </c:yVal>
          <c:smooth val="1"/>
        </c:ser>
        <c:ser>
          <c:idx val="1"/>
          <c:order val="1"/>
          <c:tx>
            <c:v>Modeled</c:v>
          </c:tx>
          <c:spPr>
            <a:ln w="25400">
              <a:solidFill>
                <a:srgbClr val="FFCC00"/>
              </a:solidFill>
              <a:prstDash val="sysDash"/>
            </a:ln>
          </c:spPr>
          <c:marker>
            <c:symbol val="none"/>
          </c:marker>
          <c:xVal>
            <c:numRef>
              <c:f>'ARC V-I Curve'!$L$3:$L$26</c:f>
              <c:numCache>
                <c:formatCode>0.0</c:formatCode>
                <c:ptCount val="24"/>
                <c:pt idx="0">
                  <c:v>3.64</c:v>
                </c:pt>
                <c:pt idx="1">
                  <c:v>4</c:v>
                </c:pt>
                <c:pt idx="2">
                  <c:v>4.5</c:v>
                </c:pt>
                <c:pt idx="3">
                  <c:v>5</c:v>
                </c:pt>
                <c:pt idx="4">
                  <c:v>5.5</c:v>
                </c:pt>
                <c:pt idx="5">
                  <c:v>6</c:v>
                </c:pt>
                <c:pt idx="6">
                  <c:v>6.5</c:v>
                </c:pt>
                <c:pt idx="7">
                  <c:v>7</c:v>
                </c:pt>
                <c:pt idx="8">
                  <c:v>7.5</c:v>
                </c:pt>
                <c:pt idx="9">
                  <c:v>8</c:v>
                </c:pt>
                <c:pt idx="10">
                  <c:v>8.5</c:v>
                </c:pt>
                <c:pt idx="11">
                  <c:v>9</c:v>
                </c:pt>
                <c:pt idx="12">
                  <c:v>9.5</c:v>
                </c:pt>
                <c:pt idx="13">
                  <c:v>10</c:v>
                </c:pt>
                <c:pt idx="14">
                  <c:v>10.5</c:v>
                </c:pt>
                <c:pt idx="15">
                  <c:v>11</c:v>
                </c:pt>
                <c:pt idx="16">
                  <c:v>11.5</c:v>
                </c:pt>
                <c:pt idx="17">
                  <c:v>12</c:v>
                </c:pt>
                <c:pt idx="18">
                  <c:v>12.5</c:v>
                </c:pt>
                <c:pt idx="19">
                  <c:v>13</c:v>
                </c:pt>
                <c:pt idx="20">
                  <c:v>13.5</c:v>
                </c:pt>
                <c:pt idx="21">
                  <c:v>14</c:v>
                </c:pt>
                <c:pt idx="22">
                  <c:v>14.5</c:v>
                </c:pt>
                <c:pt idx="23">
                  <c:v>15</c:v>
                </c:pt>
              </c:numCache>
            </c:numRef>
          </c:xVal>
          <c:yVal>
            <c:numRef>
              <c:f>'ARC V-I Curve'!$Q$3:$Q$261</c:f>
              <c:numCache>
                <c:formatCode>0.0</c:formatCode>
                <c:ptCount val="259"/>
                <c:pt idx="0">
                  <c:v>526.39759379551288</c:v>
                </c:pt>
                <c:pt idx="1">
                  <c:v>474.95799409855999</c:v>
                </c:pt>
                <c:pt idx="2">
                  <c:v>414.84722050915025</c:v>
                </c:pt>
                <c:pt idx="3">
                  <c:v>365.86989903124982</c:v>
                </c:pt>
                <c:pt idx="4">
                  <c:v>326.03947027013101</c:v>
                </c:pt>
                <c:pt idx="5">
                  <c:v>293.63934915743994</c:v>
                </c:pt>
                <c:pt idx="6">
                  <c:v>267.20307659753598</c:v>
                </c:pt>
                <c:pt idx="7">
                  <c:v>245.49447111383006</c:v>
                </c:pt>
                <c:pt idx="8">
                  <c:v>227.48778049511702</c:v>
                </c:pt>
                <c:pt idx="9">
                  <c:v>212.3478334419201</c:v>
                </c:pt>
                <c:pt idx="10">
                  <c:v>199.41019121282216</c:v>
                </c:pt>
                <c:pt idx="11">
                  <c:v>188.1612992708092</c:v>
                </c:pt>
                <c:pt idx="12">
                  <c:v>178.21863892960346</c:v>
                </c:pt>
                <c:pt idx="13">
                  <c:v>169.3108789999992</c:v>
                </c:pt>
                <c:pt idx="14">
                  <c:v>161.25802743620761</c:v>
                </c:pt>
                <c:pt idx="15">
                  <c:v>153.95158298218985</c:v>
                </c:pt>
                <c:pt idx="16">
                  <c:v>147.33468681798922</c:v>
                </c:pt>
                <c:pt idx="17">
                  <c:v>141.38227420607882</c:v>
                </c:pt>
                <c:pt idx="18">
                  <c:v>136.08122613769456</c:v>
                </c:pt>
                <c:pt idx="19">
                  <c:v>131.41052097916827</c:v>
                </c:pt>
                <c:pt idx="20">
                  <c:v>127.32138611827259</c:v>
                </c:pt>
                <c:pt idx="21">
                  <c:v>123.71744961055856</c:v>
                </c:pt>
                <c:pt idx="22">
                  <c:v>120.43489182568419</c:v>
                </c:pt>
                <c:pt idx="23">
                  <c:v>117.22259709374748</c:v>
                </c:pt>
              </c:numCache>
            </c:numRef>
          </c:yVal>
          <c:smooth val="0"/>
        </c:ser>
        <c:dLbls>
          <c:showLegendKey val="0"/>
          <c:showVal val="0"/>
          <c:showCatName val="0"/>
          <c:showSerName val="0"/>
          <c:showPercent val="0"/>
          <c:showBubbleSize val="0"/>
        </c:dLbls>
        <c:axId val="154986752"/>
        <c:axId val="154988928"/>
      </c:scatterChart>
      <c:valAx>
        <c:axId val="154986752"/>
        <c:scaling>
          <c:orientation val="minMax"/>
          <c:max val="15"/>
          <c:min val="3"/>
        </c:scaling>
        <c:delete val="0"/>
        <c:axPos val="b"/>
        <c:title>
          <c:tx>
            <c:rich>
              <a:bodyPr/>
              <a:lstStyle/>
              <a:p>
                <a:pPr>
                  <a:defRPr sz="875" b="1" i="0" u="none" strike="noStrike" baseline="0">
                    <a:solidFill>
                      <a:srgbClr val="000000"/>
                    </a:solidFill>
                    <a:latin typeface="Arial"/>
                    <a:ea typeface="Arial"/>
                    <a:cs typeface="Arial"/>
                  </a:defRPr>
                </a:pPr>
                <a:r>
                  <a:rPr lang="en-US"/>
                  <a:t>Input Voltage (V)</a:t>
                </a:r>
              </a:p>
            </c:rich>
          </c:tx>
          <c:layout>
            <c:manualLayout>
              <c:xMode val="edge"/>
              <c:yMode val="edge"/>
              <c:x val="0.46607731555679432"/>
              <c:y val="0.94498534770532328"/>
            </c:manualLayout>
          </c:layout>
          <c:overlay val="0"/>
          <c:spPr>
            <a:noFill/>
            <a:ln w="25400">
              <a:noFill/>
            </a:ln>
          </c:spPr>
        </c:title>
        <c:numFmt formatCode="0.0" sourceLinked="1"/>
        <c:majorTickMark val="out"/>
        <c:minorTickMark val="in"/>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54988928"/>
        <c:crosses val="autoZero"/>
        <c:crossBetween val="midCat"/>
        <c:majorUnit val="1"/>
        <c:minorUnit val="0.5"/>
      </c:valAx>
      <c:valAx>
        <c:axId val="154988928"/>
        <c:scaling>
          <c:orientation val="minMax"/>
          <c:max val="600"/>
          <c:min val="0"/>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US"/>
                  <a:t>Input Current (mA)</a:t>
                </a:r>
              </a:p>
            </c:rich>
          </c:tx>
          <c:layout>
            <c:manualLayout>
              <c:xMode val="edge"/>
              <c:yMode val="edge"/>
              <c:x val="1.9174041297935103E-2"/>
              <c:y val="0.40291330088593291"/>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54986752"/>
        <c:crosses val="autoZero"/>
        <c:crossBetween val="midCat"/>
        <c:minorUnit val="25"/>
      </c:valAx>
      <c:spPr>
        <a:solidFill>
          <a:srgbClr val="C0C0C0"/>
        </a:solidFill>
        <a:ln w="12700">
          <a:solidFill>
            <a:srgbClr val="808080"/>
          </a:solidFill>
          <a:prstDash val="solid"/>
        </a:ln>
      </c:spPr>
    </c:plotArea>
    <c:legend>
      <c:legendPos val="r"/>
      <c:layout>
        <c:manualLayout>
          <c:xMode val="edge"/>
          <c:yMode val="edge"/>
          <c:x val="0.62979441745370324"/>
          <c:y val="0.23948257907719439"/>
          <c:w val="0.15929226483606546"/>
          <c:h val="6.6343146906520073E-2"/>
        </c:manualLayout>
      </c:layout>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95250</xdr:rowOff>
    </xdr:from>
    <xdr:to>
      <xdr:col>10</xdr:col>
      <xdr:colOff>66675</xdr:colOff>
      <xdr:row>37</xdr:row>
      <xdr:rowOff>133350</xdr:rowOff>
    </xdr:to>
    <xdr:graphicFrame macro="">
      <xdr:nvGraphicFramePr>
        <xdr:cNvPr id="61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1</xdr:row>
      <xdr:rowOff>114300</xdr:rowOff>
    </xdr:from>
    <xdr:to>
      <xdr:col>9</xdr:col>
      <xdr:colOff>600075</xdr:colOff>
      <xdr:row>39</xdr:row>
      <xdr:rowOff>0</xdr:rowOff>
    </xdr:to>
    <xdr:graphicFrame macro="">
      <xdr:nvGraphicFramePr>
        <xdr:cNvPr id="40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10</xdr:col>
      <xdr:colOff>66675</xdr:colOff>
      <xdr:row>36</xdr:row>
      <xdr:rowOff>28575</xdr:rowOff>
    </xdr:to>
    <xdr:graphicFrame macro="">
      <xdr:nvGraphicFramePr>
        <xdr:cNvPr id="174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43</xdr:row>
      <xdr:rowOff>0</xdr:rowOff>
    </xdr:from>
    <xdr:to>
      <xdr:col>9</xdr:col>
      <xdr:colOff>485775</xdr:colOff>
      <xdr:row>69</xdr:row>
      <xdr:rowOff>28575</xdr:rowOff>
    </xdr:to>
    <xdr:graphicFrame macro="">
      <xdr:nvGraphicFramePr>
        <xdr:cNvPr id="1742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xdr:row>
      <xdr:rowOff>95250</xdr:rowOff>
    </xdr:from>
    <xdr:to>
      <xdr:col>10</xdr:col>
      <xdr:colOff>66675</xdr:colOff>
      <xdr:row>37</xdr:row>
      <xdr:rowOff>133350</xdr:rowOff>
    </xdr:to>
    <xdr:graphicFrame macro="">
      <xdr:nvGraphicFramePr>
        <xdr:cNvPr id="51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1</xdr:row>
      <xdr:rowOff>95250</xdr:rowOff>
    </xdr:from>
    <xdr:to>
      <xdr:col>10</xdr:col>
      <xdr:colOff>66675</xdr:colOff>
      <xdr:row>37</xdr:row>
      <xdr:rowOff>133350</xdr:rowOff>
    </xdr:to>
    <xdr:graphicFrame macro="">
      <xdr:nvGraphicFramePr>
        <xdr:cNvPr id="30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1</xdr:row>
      <xdr:rowOff>114300</xdr:rowOff>
    </xdr:from>
    <xdr:to>
      <xdr:col>9</xdr:col>
      <xdr:colOff>561975</xdr:colOff>
      <xdr:row>38</xdr:row>
      <xdr:rowOff>9525</xdr:rowOff>
    </xdr:to>
    <xdr:graphicFrame macro="">
      <xdr:nvGraphicFramePr>
        <xdr:cNvPr id="20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7"/>
  </sheetPr>
  <dimension ref="A1:P43"/>
  <sheetViews>
    <sheetView tabSelected="1" workbookViewId="0"/>
  </sheetViews>
  <sheetFormatPr defaultRowHeight="12.75" x14ac:dyDescent="0.2"/>
  <cols>
    <col min="1" max="1" width="136.5703125" customWidth="1"/>
    <col min="2" max="4" width="35.7109375" customWidth="1"/>
  </cols>
  <sheetData>
    <row r="1" spans="1:16" ht="30.75" customHeight="1" x14ac:dyDescent="0.2">
      <c r="A1" s="44" t="s">
        <v>39</v>
      </c>
    </row>
    <row r="2" spans="1:16" ht="39" customHeight="1" x14ac:dyDescent="0.2">
      <c r="A2" s="87" t="s">
        <v>206</v>
      </c>
      <c r="B2" s="26"/>
      <c r="C2" s="26"/>
      <c r="D2" s="26"/>
      <c r="E2" s="26"/>
      <c r="F2" s="26"/>
      <c r="G2" s="26"/>
      <c r="H2" s="26"/>
      <c r="I2" s="26"/>
      <c r="J2" s="26"/>
      <c r="K2" s="26"/>
      <c r="L2" s="26"/>
      <c r="M2" s="26"/>
      <c r="N2" s="26"/>
      <c r="O2" s="26"/>
      <c r="P2" s="26"/>
    </row>
    <row r="3" spans="1:16" ht="63" customHeight="1" x14ac:dyDescent="0.2">
      <c r="A3" s="26" t="s">
        <v>205</v>
      </c>
      <c r="B3" s="26"/>
      <c r="C3" s="26"/>
      <c r="D3" s="26"/>
      <c r="E3" s="26"/>
      <c r="F3" s="26"/>
      <c r="G3" s="26"/>
      <c r="H3" s="26"/>
      <c r="I3" s="26"/>
      <c r="J3" s="26"/>
      <c r="K3" s="26"/>
      <c r="L3" s="26"/>
      <c r="M3" s="26"/>
      <c r="N3" s="26"/>
      <c r="O3" s="26"/>
      <c r="P3" s="26"/>
    </row>
    <row r="4" spans="1:16" ht="75" customHeight="1" x14ac:dyDescent="0.2">
      <c r="A4" s="26" t="s">
        <v>207</v>
      </c>
      <c r="B4" s="26"/>
      <c r="C4" s="26"/>
      <c r="D4" s="26"/>
      <c r="E4" s="26"/>
      <c r="F4" s="26"/>
      <c r="G4" s="26"/>
      <c r="H4" s="26"/>
      <c r="I4" s="26"/>
      <c r="J4" s="26"/>
      <c r="K4" s="26"/>
      <c r="L4" s="26"/>
      <c r="M4" s="26"/>
      <c r="N4" s="26"/>
      <c r="O4" s="26"/>
      <c r="P4" s="26"/>
    </row>
    <row r="5" spans="1:16" ht="102" customHeight="1" x14ac:dyDescent="0.2">
      <c r="A5" s="26" t="s">
        <v>139</v>
      </c>
      <c r="B5" s="26"/>
      <c r="C5" s="26"/>
      <c r="D5" s="26"/>
      <c r="E5" s="26"/>
      <c r="F5" s="26"/>
      <c r="G5" s="26"/>
      <c r="H5" s="26"/>
      <c r="I5" s="26"/>
      <c r="J5" s="26"/>
      <c r="K5" s="26"/>
      <c r="L5" s="26"/>
      <c r="M5" s="26"/>
      <c r="N5" s="26"/>
      <c r="O5" s="26"/>
      <c r="P5" s="26"/>
    </row>
    <row r="6" spans="1:16" ht="27" customHeight="1" x14ac:dyDescent="0.2"/>
    <row r="7" spans="1:16" x14ac:dyDescent="0.2">
      <c r="A7" s="71" t="s">
        <v>78</v>
      </c>
      <c r="B7" s="23"/>
    </row>
    <row r="8" spans="1:16" x14ac:dyDescent="0.2">
      <c r="A8" s="72" t="s">
        <v>27</v>
      </c>
      <c r="B8" s="23"/>
    </row>
    <row r="9" spans="1:16" x14ac:dyDescent="0.2">
      <c r="A9" s="72" t="s">
        <v>28</v>
      </c>
      <c r="B9" s="23"/>
    </row>
    <row r="10" spans="1:16" x14ac:dyDescent="0.2">
      <c r="A10" s="72" t="s">
        <v>29</v>
      </c>
    </row>
    <row r="11" spans="1:16" x14ac:dyDescent="0.2">
      <c r="A11" s="72" t="s">
        <v>204</v>
      </c>
    </row>
    <row r="12" spans="1:16" x14ac:dyDescent="0.2">
      <c r="A12" s="72" t="s">
        <v>64</v>
      </c>
    </row>
    <row r="13" spans="1:16" x14ac:dyDescent="0.2">
      <c r="A13" s="72" t="s">
        <v>73</v>
      </c>
    </row>
    <row r="14" spans="1:16" x14ac:dyDescent="0.2">
      <c r="A14" s="103" t="s">
        <v>124</v>
      </c>
    </row>
    <row r="15" spans="1:16" ht="21.75" customHeight="1" x14ac:dyDescent="0.2"/>
    <row r="16" spans="1:16" s="70" customFormat="1" ht="107.25" customHeight="1" x14ac:dyDescent="0.2">
      <c r="A16" s="69" t="s">
        <v>171</v>
      </c>
    </row>
    <row r="17" spans="1:1" ht="33.75" customHeight="1" x14ac:dyDescent="0.2"/>
    <row r="18" spans="1:1" x14ac:dyDescent="0.2">
      <c r="A18" s="104" t="s">
        <v>124</v>
      </c>
    </row>
    <row r="19" spans="1:1" ht="32.25" customHeight="1" x14ac:dyDescent="0.2">
      <c r="A19" s="101" t="s">
        <v>3</v>
      </c>
    </row>
    <row r="20" spans="1:1" ht="32.25" customHeight="1" x14ac:dyDescent="0.2">
      <c r="A20" s="101" t="s">
        <v>4</v>
      </c>
    </row>
    <row r="21" spans="1:1" ht="45" customHeight="1" x14ac:dyDescent="0.2">
      <c r="A21" s="101" t="s">
        <v>140</v>
      </c>
    </row>
    <row r="22" spans="1:1" ht="32.25" customHeight="1" x14ac:dyDescent="0.2">
      <c r="A22" s="101" t="s">
        <v>2</v>
      </c>
    </row>
    <row r="23" spans="1:1" ht="45" customHeight="1" x14ac:dyDescent="0.2">
      <c r="A23" s="101" t="s">
        <v>0</v>
      </c>
    </row>
    <row r="24" spans="1:1" ht="18" customHeight="1" x14ac:dyDescent="0.2">
      <c r="A24" s="101" t="s">
        <v>141</v>
      </c>
    </row>
    <row r="25" spans="1:1" ht="57.75" customHeight="1" x14ac:dyDescent="0.2">
      <c r="A25" s="101" t="s">
        <v>142</v>
      </c>
    </row>
    <row r="26" spans="1:1" ht="45" customHeight="1" x14ac:dyDescent="0.2">
      <c r="A26" s="102" t="s">
        <v>216</v>
      </c>
    </row>
    <row r="27" spans="1:1" ht="58.5" customHeight="1" x14ac:dyDescent="0.2">
      <c r="A27" s="102" t="s">
        <v>143</v>
      </c>
    </row>
    <row r="28" spans="1:1" ht="26.25" customHeight="1" x14ac:dyDescent="0.2"/>
    <row r="29" spans="1:1" ht="82.5" customHeight="1" x14ac:dyDescent="0.2">
      <c r="A29" s="119" t="s">
        <v>165</v>
      </c>
    </row>
    <row r="31" spans="1:1" ht="33" customHeight="1" x14ac:dyDescent="0.2"/>
    <row r="32" spans="1:1" x14ac:dyDescent="0.2">
      <c r="A32" s="105" t="s">
        <v>222</v>
      </c>
    </row>
    <row r="34" spans="1:1" x14ac:dyDescent="0.2">
      <c r="A34" s="91" t="s">
        <v>103</v>
      </c>
    </row>
    <row r="35" spans="1:1" x14ac:dyDescent="0.2">
      <c r="A35" t="s">
        <v>104</v>
      </c>
    </row>
    <row r="36" spans="1:1" x14ac:dyDescent="0.2">
      <c r="A36" t="s">
        <v>105</v>
      </c>
    </row>
    <row r="37" spans="1:1" x14ac:dyDescent="0.2">
      <c r="A37" t="s">
        <v>106</v>
      </c>
    </row>
    <row r="38" spans="1:1" x14ac:dyDescent="0.2">
      <c r="A38" t="s">
        <v>107</v>
      </c>
    </row>
    <row r="39" spans="1:1" ht="26.25" customHeight="1" x14ac:dyDescent="0.2">
      <c r="A39" s="113" t="s">
        <v>200</v>
      </c>
    </row>
    <row r="40" spans="1:1" x14ac:dyDescent="0.2">
      <c r="A40" t="s">
        <v>172</v>
      </c>
    </row>
    <row r="41" spans="1:1" x14ac:dyDescent="0.2">
      <c r="A41" s="133" t="s">
        <v>198</v>
      </c>
    </row>
    <row r="42" spans="1:1" x14ac:dyDescent="0.2">
      <c r="A42" s="133" t="s">
        <v>199</v>
      </c>
    </row>
    <row r="43" spans="1:1" x14ac:dyDescent="0.2">
      <c r="A43" s="133" t="s">
        <v>221</v>
      </c>
    </row>
  </sheetData>
  <sheetProtection sheet="1" objects="1" scenarios="1"/>
  <phoneticPr fontId="0" type="noConversion"/>
  <hyperlinks>
    <hyperlink ref="A8" location="_1_ARC" display="1 ARC on the chain"/>
    <hyperlink ref="A12" location="Defaults" display="Edit Defaults"/>
    <hyperlink ref="A9" location="_2_ARC" display="2 ARCs on the chain"/>
    <hyperlink ref="A10" location="_3_ARC" display="3 ARCs on the chain"/>
    <hyperlink ref="A2" location="powering_device" display="powering_device"/>
    <hyperlink ref="A11" location="_5_8_ARC" display="4-10 ARCs on the chain"/>
    <hyperlink ref="A14" location="Solutions" display="Solutions"/>
    <hyperlink ref="A13" location="Feet_Meters_Conversion" display="Feet/Meters Conversion Calculator"/>
  </hyperlink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43"/>
  </sheetPr>
  <dimension ref="A1:AY200"/>
  <sheetViews>
    <sheetView zoomScaleNormal="100" workbookViewId="0">
      <selection activeCell="B3" sqref="B3:C3"/>
    </sheetView>
  </sheetViews>
  <sheetFormatPr defaultRowHeight="12.75" x14ac:dyDescent="0.2"/>
  <cols>
    <col min="1" max="1" width="28.28515625" style="6" customWidth="1"/>
    <col min="2" max="2" width="12.7109375" style="6" customWidth="1"/>
    <col min="3" max="3" width="8.7109375" style="6" customWidth="1"/>
    <col min="4" max="4" width="10.7109375" style="6" customWidth="1"/>
    <col min="5" max="5" width="11.7109375" style="7" customWidth="1"/>
    <col min="6" max="6" width="8.7109375" style="7" customWidth="1"/>
    <col min="7" max="7" width="10.7109375" style="7" customWidth="1"/>
    <col min="8" max="8" width="11.5703125" style="7" customWidth="1"/>
    <col min="9" max="9" width="8.7109375" style="7" customWidth="1"/>
    <col min="10" max="10" width="10.7109375" style="6" customWidth="1"/>
    <col min="11" max="11" width="11.7109375" style="6" customWidth="1"/>
    <col min="12" max="12" width="8.7109375" style="6" customWidth="1"/>
    <col min="13" max="13" width="10.7109375" style="6" customWidth="1"/>
    <col min="14" max="14" width="11.7109375" style="6" customWidth="1"/>
    <col min="15" max="15" width="8.5703125" style="6" customWidth="1"/>
    <col min="16" max="16" width="10.7109375" style="6" customWidth="1"/>
    <col min="17" max="17" width="11.7109375" style="6" customWidth="1"/>
    <col min="18" max="18" width="8.42578125" style="6" customWidth="1"/>
    <col min="19" max="19" width="10.5703125" style="6" customWidth="1"/>
    <col min="20" max="20" width="11.5703125" style="6" customWidth="1"/>
    <col min="21" max="21" width="8.42578125" style="6" customWidth="1"/>
    <col min="22" max="22" width="10.7109375" style="6" customWidth="1"/>
    <col min="23" max="23" width="11.7109375" style="6" customWidth="1"/>
    <col min="24" max="24" width="8.7109375" style="6" customWidth="1"/>
    <col min="25" max="25" width="10.7109375" style="6" customWidth="1"/>
    <col min="26" max="26" width="11.7109375" style="6" customWidth="1"/>
    <col min="27" max="27" width="8.7109375" style="6" customWidth="1"/>
    <col min="28" max="28" width="10.7109375" style="6" customWidth="1"/>
    <col min="29" max="29" width="11.7109375" style="6" customWidth="1"/>
    <col min="30" max="30" width="8.7109375" style="6" customWidth="1"/>
    <col min="31" max="31" width="10.7109375" style="6" customWidth="1"/>
    <col min="32" max="32" width="11.7109375" style="6" customWidth="1"/>
    <col min="33" max="43" width="2.85546875" style="6" customWidth="1"/>
    <col min="44" max="44" width="13.28515625" style="6" hidden="1" customWidth="1"/>
    <col min="45" max="45" width="9.140625" style="6" hidden="1" customWidth="1"/>
    <col min="46" max="46" width="37.7109375" style="6" hidden="1" customWidth="1"/>
    <col min="47" max="47" width="21.85546875" style="6" hidden="1" customWidth="1"/>
    <col min="48" max="48" width="11.28515625" style="6" hidden="1" customWidth="1"/>
    <col min="49" max="50" width="12.85546875" style="6" hidden="1" customWidth="1"/>
    <col min="51" max="51" width="12.28515625" style="6" hidden="1" customWidth="1"/>
    <col min="52" max="52" width="9.140625" style="6"/>
    <col min="53" max="53" width="14.140625" style="6" customWidth="1"/>
    <col min="54" max="16384" width="9.140625" style="6"/>
  </cols>
  <sheetData>
    <row r="1" spans="1:51" ht="15.75" x14ac:dyDescent="0.25">
      <c r="A1" s="51" t="s">
        <v>65</v>
      </c>
      <c r="C1" s="162" t="s">
        <v>69</v>
      </c>
      <c r="D1" s="163"/>
      <c r="E1" s="163"/>
      <c r="F1" s="163"/>
      <c r="G1" s="112" t="s">
        <v>144</v>
      </c>
    </row>
    <row r="2" spans="1:51" ht="29.25" customHeight="1" x14ac:dyDescent="0.2">
      <c r="C2" s="48"/>
      <c r="D2" s="77"/>
      <c r="E2" s="77"/>
      <c r="F2" s="77"/>
    </row>
    <row r="3" spans="1:51" ht="15.75" customHeight="1" x14ac:dyDescent="0.25">
      <c r="A3" s="82" t="s">
        <v>90</v>
      </c>
      <c r="B3" s="164" t="s">
        <v>100</v>
      </c>
      <c r="C3" s="164"/>
      <c r="D3" s="183" t="str">
        <f>IF($B$3=_pwr_ARC_PSe,"     24V, 500 mA per port, 1000 mA total","       "&amp;voltage_in&amp;"V, "&amp;max_current&amp;" mA")</f>
        <v xml:space="preserve">       0V, 0 mA</v>
      </c>
      <c r="E3" s="157"/>
      <c r="F3" s="157"/>
      <c r="G3" s="184" t="str">
        <f>IF(F12&lt;100, IF($B$3=_pwr_ARC_PSe, "Max " &amp; F12 &amp; " Modular ARCs total across all ports",  F12 &amp; " Modular ARCs maximum"), "")</f>
        <v/>
      </c>
      <c r="H3" s="184"/>
      <c r="I3" s="184"/>
      <c r="J3" s="184"/>
      <c r="AR3" s="171" t="s">
        <v>117</v>
      </c>
      <c r="AS3" s="171"/>
      <c r="AT3" s="171"/>
      <c r="AU3" s="171"/>
      <c r="AV3" s="171"/>
      <c r="AW3" s="171"/>
      <c r="AX3" s="171"/>
      <c r="AY3" s="171"/>
    </row>
    <row r="4" spans="1:51" ht="16.5" customHeight="1" x14ac:dyDescent="0.2">
      <c r="A4" s="8" t="s">
        <v>123</v>
      </c>
      <c r="C4" s="115">
        <v>24</v>
      </c>
      <c r="D4" s="6" t="s">
        <v>35</v>
      </c>
      <c r="E4" s="115">
        <v>1000</v>
      </c>
      <c r="F4" s="6" t="s">
        <v>97</v>
      </c>
      <c r="AR4" s="176" t="s">
        <v>164</v>
      </c>
      <c r="AS4" s="176"/>
      <c r="AT4" s="176"/>
      <c r="AU4" s="176"/>
      <c r="AV4" s="176"/>
      <c r="AW4" s="176"/>
      <c r="AX4" s="176"/>
      <c r="AY4" s="176"/>
    </row>
    <row r="5" spans="1:51" ht="15.75" x14ac:dyDescent="0.25">
      <c r="A5" s="5" t="s">
        <v>31</v>
      </c>
      <c r="B5" s="5"/>
      <c r="AR5" s="83" t="s">
        <v>83</v>
      </c>
      <c r="AS5" s="88" t="s">
        <v>98</v>
      </c>
      <c r="AT5" s="89" t="s">
        <v>16</v>
      </c>
      <c r="AU5" s="84" t="s">
        <v>84</v>
      </c>
      <c r="AV5" s="85" t="s">
        <v>93</v>
      </c>
      <c r="AW5" s="85" t="s">
        <v>95</v>
      </c>
      <c r="AX5" s="86" t="s">
        <v>211</v>
      </c>
      <c r="AY5" s="86" t="s">
        <v>169</v>
      </c>
    </row>
    <row r="6" spans="1:51" x14ac:dyDescent="0.2">
      <c r="A6" s="8" t="s">
        <v>44</v>
      </c>
      <c r="B6" s="177" t="s">
        <v>68</v>
      </c>
      <c r="C6" s="178"/>
      <c r="D6" s="9"/>
      <c r="AR6" s="6" t="s">
        <v>116</v>
      </c>
      <c r="AS6" s="24">
        <v>0</v>
      </c>
      <c r="AT6" s="90" t="s">
        <v>55</v>
      </c>
      <c r="AU6" s="24" t="s">
        <v>135</v>
      </c>
      <c r="AV6" s="28">
        <v>24</v>
      </c>
      <c r="AW6" s="28">
        <v>0.5</v>
      </c>
      <c r="AX6" s="47">
        <v>8</v>
      </c>
      <c r="AY6" s="6">
        <v>0</v>
      </c>
    </row>
    <row r="7" spans="1:51" x14ac:dyDescent="0.2">
      <c r="A7" s="8" t="s">
        <v>91</v>
      </c>
      <c r="B7" s="55"/>
      <c r="C7" s="9">
        <f>IF($B$3=_pwr_Custom,C4,VLOOKUP(powering_device,_pwr_table,2,FALSE))</f>
        <v>0</v>
      </c>
      <c r="D7" s="9" t="s">
        <v>35</v>
      </c>
      <c r="AR7" s="6" t="s">
        <v>173</v>
      </c>
      <c r="AS7" s="24">
        <v>1</v>
      </c>
      <c r="AT7" s="90" t="s">
        <v>120</v>
      </c>
      <c r="AU7" s="6" t="s">
        <v>217</v>
      </c>
      <c r="AV7" s="28">
        <v>24</v>
      </c>
      <c r="AW7" s="28">
        <v>0.5</v>
      </c>
      <c r="AX7" s="47">
        <v>999</v>
      </c>
      <c r="AY7" s="6">
        <v>1</v>
      </c>
    </row>
    <row r="8" spans="1:51" x14ac:dyDescent="0.2">
      <c r="A8" s="8" t="s">
        <v>32</v>
      </c>
      <c r="B8" s="48"/>
      <c r="C8" s="56">
        <v>28</v>
      </c>
      <c r="D8" s="9" t="s">
        <v>36</v>
      </c>
      <c r="AR8" s="80" t="s">
        <v>129</v>
      </c>
      <c r="AS8" s="24">
        <v>2</v>
      </c>
      <c r="AT8" s="90" t="s">
        <v>53</v>
      </c>
      <c r="AU8" s="24" t="s">
        <v>218</v>
      </c>
      <c r="AV8" s="28">
        <v>24</v>
      </c>
      <c r="AW8" s="28">
        <v>0.5</v>
      </c>
      <c r="AX8" s="47">
        <v>999</v>
      </c>
      <c r="AY8" s="6">
        <v>2</v>
      </c>
    </row>
    <row r="9" spans="1:51" x14ac:dyDescent="0.2">
      <c r="A9" s="8" t="s">
        <v>33</v>
      </c>
      <c r="B9" s="48"/>
      <c r="C9" s="56">
        <v>41</v>
      </c>
      <c r="D9" s="9" t="s">
        <v>36</v>
      </c>
      <c r="AR9" s="80" t="s">
        <v>136</v>
      </c>
      <c r="AS9" s="24">
        <v>3</v>
      </c>
      <c r="AT9" s="90" t="s">
        <v>99</v>
      </c>
      <c r="AU9" s="24" t="s">
        <v>219</v>
      </c>
      <c r="AV9" s="28">
        <v>24</v>
      </c>
      <c r="AW9" s="28">
        <v>0.32</v>
      </c>
      <c r="AX9" s="47">
        <v>999</v>
      </c>
      <c r="AY9" s="6">
        <v>3</v>
      </c>
    </row>
    <row r="10" spans="1:51" x14ac:dyDescent="0.2">
      <c r="A10" s="8" t="s">
        <v>34</v>
      </c>
      <c r="B10" s="48"/>
      <c r="C10" s="56">
        <v>75</v>
      </c>
      <c r="D10" s="9" t="s">
        <v>36</v>
      </c>
      <c r="AR10" s="80" t="s">
        <v>137</v>
      </c>
      <c r="AS10" s="24">
        <v>4</v>
      </c>
      <c r="AT10" s="47" t="s">
        <v>122</v>
      </c>
      <c r="AU10" s="24" t="s">
        <v>201</v>
      </c>
      <c r="AV10" s="28">
        <v>24</v>
      </c>
      <c r="AW10" s="28">
        <v>0.5</v>
      </c>
      <c r="AX10" s="47">
        <v>999</v>
      </c>
      <c r="AY10" s="6">
        <v>4</v>
      </c>
    </row>
    <row r="11" spans="1:51" x14ac:dyDescent="0.2">
      <c r="A11" s="175" t="s">
        <v>8</v>
      </c>
      <c r="B11" s="157"/>
      <c r="C11" s="157"/>
      <c r="D11" s="21"/>
      <c r="AR11" s="80" t="s">
        <v>47</v>
      </c>
      <c r="AS11" s="24">
        <v>10</v>
      </c>
      <c r="AT11" s="47" t="s">
        <v>118</v>
      </c>
      <c r="AU11" s="24" t="s">
        <v>1</v>
      </c>
      <c r="AV11" s="28">
        <v>24</v>
      </c>
      <c r="AW11" s="28">
        <v>0.66</v>
      </c>
      <c r="AX11" s="47">
        <v>4</v>
      </c>
    </row>
    <row r="12" spans="1:51" ht="12.75" hidden="1" customHeight="1" x14ac:dyDescent="0.2">
      <c r="A12" s="8" t="s">
        <v>43</v>
      </c>
      <c r="B12" s="20"/>
      <c r="C12" s="21">
        <v>3.65</v>
      </c>
      <c r="D12" s="21"/>
      <c r="E12" s="11" t="s">
        <v>212</v>
      </c>
      <c r="F12" s="138">
        <f>VLOOKUP(powering_device,_pwr_table,4, FALSE)</f>
        <v>999</v>
      </c>
      <c r="G12" s="181" t="s">
        <v>215</v>
      </c>
      <c r="H12" s="11" t="s">
        <v>208</v>
      </c>
      <c r="J12" s="7"/>
      <c r="AR12" s="80" t="s">
        <v>46</v>
      </c>
      <c r="AS12" s="24">
        <v>5</v>
      </c>
      <c r="AT12" s="47" t="s">
        <v>214</v>
      </c>
      <c r="AU12" s="24" t="s">
        <v>94</v>
      </c>
      <c r="AV12" s="28">
        <v>9</v>
      </c>
      <c r="AW12" s="28">
        <v>0.5</v>
      </c>
      <c r="AX12" s="47">
        <v>999</v>
      </c>
    </row>
    <row r="13" spans="1:51" ht="12.75" hidden="1" customHeight="1" x14ac:dyDescent="0.2">
      <c r="A13" s="8" t="s">
        <v>59</v>
      </c>
      <c r="B13" s="20"/>
      <c r="C13" s="21">
        <v>7.2</v>
      </c>
      <c r="D13" s="21"/>
      <c r="F13" s="137"/>
      <c r="G13" s="181"/>
      <c r="H13" s="7" t="s">
        <v>209</v>
      </c>
      <c r="J13" s="7"/>
      <c r="AR13" s="80" t="s">
        <v>166</v>
      </c>
      <c r="AS13" s="24"/>
      <c r="AT13" s="47"/>
      <c r="AU13" s="24" t="s">
        <v>87</v>
      </c>
      <c r="AV13" s="28">
        <v>24</v>
      </c>
      <c r="AW13" s="28">
        <v>0.4</v>
      </c>
      <c r="AX13" s="47">
        <v>4</v>
      </c>
    </row>
    <row r="14" spans="1:51" ht="12.75" hidden="1" customHeight="1" x14ac:dyDescent="0.2">
      <c r="A14" s="8" t="s">
        <v>96</v>
      </c>
      <c r="B14" s="8"/>
      <c r="C14" s="81">
        <f>1000*IF($B$3=_pwr_Custom,E4/1000,VLOOKUP(powering_device,_pwr_table,3,FALSE))</f>
        <v>0</v>
      </c>
      <c r="D14" s="9" t="s">
        <v>97</v>
      </c>
      <c r="F14" s="137"/>
      <c r="G14" s="181"/>
      <c r="H14" s="7" t="s">
        <v>148</v>
      </c>
      <c r="J14" s="7"/>
      <c r="AR14" s="80" t="s">
        <v>138</v>
      </c>
      <c r="AS14" s="24"/>
      <c r="AT14" s="47"/>
      <c r="AU14" s="24" t="s">
        <v>85</v>
      </c>
      <c r="AV14" s="28">
        <v>15</v>
      </c>
      <c r="AW14" s="28">
        <v>1.2</v>
      </c>
      <c r="AX14" s="47">
        <v>999</v>
      </c>
    </row>
    <row r="15" spans="1:51" ht="12" hidden="1" customHeight="1" x14ac:dyDescent="0.2">
      <c r="A15" s="8" t="s">
        <v>130</v>
      </c>
      <c r="B15" s="20"/>
      <c r="C15" s="21">
        <v>5.8</v>
      </c>
      <c r="F15" s="137"/>
      <c r="G15" s="181"/>
      <c r="H15" s="7" t="s">
        <v>197</v>
      </c>
      <c r="J15" s="7"/>
      <c r="AR15" s="80" t="s">
        <v>132</v>
      </c>
      <c r="AS15" s="24"/>
      <c r="AT15" s="47"/>
      <c r="AU15" s="24" t="s">
        <v>86</v>
      </c>
      <c r="AV15" s="28">
        <v>15</v>
      </c>
      <c r="AW15" s="28">
        <v>1.1000000000000001</v>
      </c>
      <c r="AX15" s="47">
        <v>999</v>
      </c>
    </row>
    <row r="16" spans="1:51" ht="12.75" hidden="1" customHeight="1" x14ac:dyDescent="0.2">
      <c r="A16" s="8" t="s">
        <v>190</v>
      </c>
      <c r="B16" s="20"/>
      <c r="C16" s="21">
        <v>6</v>
      </c>
      <c r="F16" s="137"/>
      <c r="G16" s="181"/>
      <c r="H16" s="114"/>
      <c r="I16" s="114"/>
      <c r="J16" s="114"/>
      <c r="K16" s="114"/>
      <c r="AS16" s="24"/>
      <c r="AT16" s="47"/>
      <c r="AU16" s="24" t="s">
        <v>89</v>
      </c>
      <c r="AV16" s="28">
        <v>15</v>
      </c>
      <c r="AW16" s="28">
        <v>0.4</v>
      </c>
      <c r="AX16" s="47">
        <v>999</v>
      </c>
    </row>
    <row r="17" spans="1:50" ht="12.75" hidden="1" customHeight="1" x14ac:dyDescent="0.2">
      <c r="A17" s="8" t="s">
        <v>60</v>
      </c>
      <c r="B17" s="8"/>
      <c r="C17" s="118">
        <v>1.1000000000000001</v>
      </c>
      <c r="D17" s="139" t="s">
        <v>213</v>
      </c>
      <c r="E17" s="114"/>
      <c r="F17" s="136"/>
      <c r="G17" s="182"/>
      <c r="AS17" s="24"/>
      <c r="AT17" s="47"/>
      <c r="AU17" s="24" t="s">
        <v>88</v>
      </c>
      <c r="AV17" s="28">
        <v>24</v>
      </c>
      <c r="AW17" s="28">
        <v>1</v>
      </c>
      <c r="AX17" s="47">
        <v>4</v>
      </c>
    </row>
    <row r="18" spans="1:50" ht="93.75" customHeight="1" x14ac:dyDescent="0.2">
      <c r="A18" s="179"/>
      <c r="B18" s="180"/>
      <c r="C18" s="180"/>
      <c r="D18" s="180"/>
      <c r="E18" s="180"/>
      <c r="AS18" s="24"/>
      <c r="AT18" s="47"/>
      <c r="AU18" s="24" t="s">
        <v>92</v>
      </c>
      <c r="AV18" s="28">
        <v>9</v>
      </c>
      <c r="AW18" s="28">
        <v>1</v>
      </c>
      <c r="AX18" s="47">
        <v>999</v>
      </c>
    </row>
    <row r="19" spans="1:50" ht="15.75" x14ac:dyDescent="0.25">
      <c r="A19" s="172" t="s">
        <v>27</v>
      </c>
      <c r="B19" s="173"/>
      <c r="C19" s="173"/>
      <c r="D19" s="173"/>
      <c r="E19" s="174"/>
      <c r="AS19" s="24"/>
      <c r="AT19" s="47"/>
      <c r="AU19" s="24" t="s">
        <v>100</v>
      </c>
      <c r="AV19" s="28"/>
      <c r="AW19" s="28"/>
      <c r="AX19" s="47">
        <v>999</v>
      </c>
    </row>
    <row r="20" spans="1:50" ht="15.75" x14ac:dyDescent="0.25">
      <c r="A20" s="24"/>
      <c r="B20" s="27"/>
      <c r="C20" s="27"/>
      <c r="D20" s="154" t="s">
        <v>45</v>
      </c>
      <c r="E20" s="155"/>
      <c r="AS20" s="24"/>
      <c r="AT20" s="47"/>
      <c r="AU20" s="24"/>
      <c r="AV20" s="28"/>
      <c r="AW20" s="28"/>
      <c r="AX20" s="47"/>
    </row>
    <row r="21" spans="1:50" x14ac:dyDescent="0.2">
      <c r="A21" s="24"/>
      <c r="B21" s="158" t="str">
        <f>IF(powering_device=_pwr_Select, "Powering Device Not Selected", powering_device)</f>
        <v>Powering Device Not Selected</v>
      </c>
      <c r="C21" s="29" t="s">
        <v>26</v>
      </c>
      <c r="D21" s="67" t="s">
        <v>48</v>
      </c>
      <c r="E21" s="117" t="s">
        <v>129</v>
      </c>
      <c r="F21" s="6"/>
      <c r="G21" s="6"/>
      <c r="H21" s="6"/>
      <c r="I21" s="6"/>
      <c r="AS21" s="24"/>
      <c r="AT21" s="47"/>
      <c r="AU21" s="24"/>
      <c r="AV21" s="28"/>
      <c r="AW21" s="28"/>
      <c r="AX21" s="47"/>
    </row>
    <row r="22" spans="1:50" x14ac:dyDescent="0.2">
      <c r="A22" s="30" t="s">
        <v>19</v>
      </c>
      <c r="B22" s="159"/>
      <c r="C22" s="97">
        <v>24</v>
      </c>
      <c r="D22" s="68" t="s">
        <v>49</v>
      </c>
      <c r="E22" s="52">
        <v>0</v>
      </c>
      <c r="F22" s="6"/>
      <c r="G22" s="6"/>
      <c r="H22" s="6"/>
      <c r="I22" s="6"/>
      <c r="AS22" s="24"/>
      <c r="AT22" s="47"/>
      <c r="AU22" s="24"/>
      <c r="AV22" s="28"/>
      <c r="AW22" s="28"/>
      <c r="AX22" s="47"/>
    </row>
    <row r="23" spans="1:50" ht="14.25" customHeight="1" x14ac:dyDescent="0.2">
      <c r="A23" s="30" t="s">
        <v>102</v>
      </c>
      <c r="B23" s="160"/>
      <c r="C23" s="53">
        <v>100</v>
      </c>
      <c r="D23" s="143" t="str">
        <f>VLOOKUP(D43,$AS$6:$AT$12,2,FALSE)</f>
        <v>Must Select Powering Device Above</v>
      </c>
      <c r="E23" s="144"/>
      <c r="F23" s="6"/>
      <c r="G23" s="6"/>
      <c r="H23" s="6"/>
      <c r="I23" s="6"/>
      <c r="AS23" s="78"/>
      <c r="AT23" s="40"/>
      <c r="AU23" s="78"/>
      <c r="AV23" s="79"/>
      <c r="AW23" s="79"/>
      <c r="AX23" s="40"/>
    </row>
    <row r="24" spans="1:50" ht="14.25" customHeight="1" x14ac:dyDescent="0.2">
      <c r="A24" s="24"/>
      <c r="B24" s="161"/>
      <c r="C24" s="28"/>
      <c r="D24" s="145"/>
      <c r="E24" s="146"/>
      <c r="F24" s="6"/>
      <c r="G24" s="6"/>
      <c r="H24" s="6"/>
      <c r="I24" s="6"/>
      <c r="AT24" s="95" t="s">
        <v>101</v>
      </c>
    </row>
    <row r="25" spans="1:50" ht="14.25" customHeight="1" x14ac:dyDescent="0.2">
      <c r="A25" s="24"/>
      <c r="B25" s="25"/>
      <c r="C25" s="28"/>
      <c r="D25" s="147"/>
      <c r="E25" s="148"/>
      <c r="F25" s="6"/>
      <c r="G25" s="6"/>
      <c r="H25" s="6"/>
      <c r="I25" s="6"/>
    </row>
    <row r="26" spans="1:50" ht="12.75" hidden="1" customHeight="1" x14ac:dyDescent="0.2">
      <c r="A26" s="24" t="s">
        <v>22</v>
      </c>
      <c r="B26" s="28"/>
      <c r="C26" s="3">
        <f>((C23/1000)/2)*IF(C22 = 24,resist_24,IF(C22 = 26,resist_26,IF(C22 = 28,resist_28,0)))*cable_comp</f>
        <v>1.5400000000000003</v>
      </c>
      <c r="D26" s="31"/>
      <c r="E26" s="32"/>
      <c r="F26" s="165" t="s">
        <v>163</v>
      </c>
      <c r="G26" s="2"/>
      <c r="H26" s="2"/>
      <c r="I26" s="2"/>
      <c r="J26" s="2"/>
      <c r="K26" s="2"/>
      <c r="L26" s="2"/>
      <c r="M26" s="2"/>
    </row>
    <row r="27" spans="1:50" ht="12.75" hidden="1" customHeight="1" x14ac:dyDescent="0.2">
      <c r="A27" s="24" t="s">
        <v>23</v>
      </c>
      <c r="B27" s="28"/>
      <c r="C27" s="3">
        <f>IF(AND(ARC_audio="Grounded",powering_device&lt;&gt;"ARC-PSe"),C26/2,C26)</f>
        <v>1.5400000000000003</v>
      </c>
      <c r="D27" s="28"/>
      <c r="E27" s="32"/>
      <c r="F27" s="166"/>
      <c r="G27" s="2"/>
      <c r="H27" s="2"/>
      <c r="I27" s="2"/>
      <c r="J27" s="2"/>
      <c r="K27" s="2"/>
      <c r="L27" s="2"/>
      <c r="M27" s="2"/>
    </row>
    <row r="28" spans="1:50" ht="12.75" hidden="1" customHeight="1" x14ac:dyDescent="0.2">
      <c r="A28" s="24" t="s">
        <v>24</v>
      </c>
      <c r="B28" s="28">
        <f>voltage_in</f>
        <v>0</v>
      </c>
      <c r="C28" s="3"/>
      <c r="D28" s="3">
        <f ca="1">B28- (C26* (D41+G41+J41+M41))</f>
        <v>-0.28840969366448677</v>
      </c>
      <c r="E28" s="32"/>
      <c r="F28" s="166"/>
      <c r="G28" s="2"/>
      <c r="H28" s="2"/>
      <c r="I28" s="10"/>
      <c r="J28" s="2"/>
      <c r="K28" s="2"/>
      <c r="L28" s="2"/>
      <c r="M28" s="2"/>
    </row>
    <row r="29" spans="1:50" ht="12.75" hidden="1" customHeight="1" x14ac:dyDescent="0.2">
      <c r="A29" s="24" t="s">
        <v>25</v>
      </c>
      <c r="B29" s="28">
        <v>0</v>
      </c>
      <c r="C29" s="33"/>
      <c r="D29" s="3">
        <f ca="1">B29+ C27 * (D41+G41+J41+M41)</f>
        <v>0.28840969366448677</v>
      </c>
      <c r="E29" s="32"/>
      <c r="F29" s="166"/>
      <c r="G29" s="10"/>
      <c r="H29" s="2"/>
      <c r="I29" s="2"/>
      <c r="J29" s="2"/>
      <c r="K29" s="2"/>
      <c r="L29" s="2"/>
      <c r="M29" s="2"/>
    </row>
    <row r="30" spans="1:50" ht="12.75" hidden="1" customHeight="1" x14ac:dyDescent="0.2">
      <c r="A30" s="24" t="s">
        <v>20</v>
      </c>
      <c r="B30" s="28"/>
      <c r="C30" s="3"/>
      <c r="D30" s="3">
        <f ca="1">MAX(D28-D29,D31)</f>
        <v>5.8</v>
      </c>
      <c r="E30" s="32"/>
      <c r="F30" s="166"/>
      <c r="G30" s="3"/>
      <c r="H30" s="3"/>
      <c r="I30" s="3"/>
      <c r="J30" s="3"/>
      <c r="K30" s="3"/>
      <c r="L30" s="3"/>
      <c r="M30" s="3"/>
    </row>
    <row r="31" spans="1:50" ht="12.75" hidden="1" customHeight="1" x14ac:dyDescent="0.2">
      <c r="A31" s="24" t="s">
        <v>54</v>
      </c>
      <c r="B31" s="28"/>
      <c r="C31" s="3"/>
      <c r="D31" s="3">
        <f>IF(E21=_dev_ARC,ARC_min_V,IF(E21=_dev_ARC_2e,ARC_2e_min_v,IF(E21=_dev_ARC_3, ARC_3_min_v, new_ARC_min_V)))</f>
        <v>5.8</v>
      </c>
      <c r="E31" s="32"/>
      <c r="F31" s="166"/>
      <c r="G31" s="3"/>
      <c r="H31" s="3"/>
      <c r="I31" s="3"/>
      <c r="J31" s="3"/>
      <c r="K31" s="3"/>
      <c r="L31" s="3"/>
      <c r="M31" s="3"/>
    </row>
    <row r="32" spans="1:50" ht="12.75" hidden="1" customHeight="1" x14ac:dyDescent="0.2">
      <c r="A32" s="24" t="s">
        <v>21</v>
      </c>
      <c r="B32" s="28"/>
      <c r="C32" s="3"/>
      <c r="D32" s="3">
        <f ca="1">IF(OR(ISERROR(D30),D30&gt;16),120,-0.00529289431*D30^5 + 0.312305242*D30^4 - 7.38502812*D30^3 + 88.7945431*D30^2 - 561.872531*D30 + 1699.84701)</f>
        <v>305.80698569499168</v>
      </c>
      <c r="E32" s="32"/>
      <c r="F32" s="166"/>
      <c r="G32" s="3"/>
      <c r="H32" s="3"/>
      <c r="I32" s="3"/>
      <c r="J32" s="3"/>
      <c r="K32" s="3"/>
      <c r="L32" s="3"/>
      <c r="M32" s="3"/>
    </row>
    <row r="33" spans="1:13" ht="12.75" hidden="1" customHeight="1" x14ac:dyDescent="0.2">
      <c r="A33" s="24" t="s">
        <v>50</v>
      </c>
      <c r="B33" s="28"/>
      <c r="C33" s="3"/>
      <c r="D33" s="3">
        <f ca="1">IF(ISERROR(D30),120, 1756.007* D30^(-1.01472))</f>
        <v>295.02620249754278</v>
      </c>
      <c r="E33" s="32"/>
      <c r="F33" s="166"/>
      <c r="G33" s="3"/>
      <c r="H33" s="3"/>
      <c r="I33" s="3"/>
      <c r="J33" s="3"/>
      <c r="K33" s="3"/>
      <c r="L33" s="3"/>
      <c r="M33" s="3"/>
    </row>
    <row r="34" spans="1:13" ht="12.75" hidden="1" customHeight="1" x14ac:dyDescent="0.2">
      <c r="A34" s="24" t="s">
        <v>128</v>
      </c>
      <c r="B34" s="28"/>
      <c r="C34" s="3"/>
      <c r="D34" s="3">
        <f ca="1">IF(ISERROR(D$30),120, -0.000014363659*D$30^6 + 0.00167333112*D$30^5 - 0.0772490725*D$30^4 + 1.77799718*D$30^3 - 20.7188537*D$30^2 + 101.5283*D$30^1 + 25.4712002)</f>
        <v>187.27902186005633</v>
      </c>
      <c r="E34" s="32"/>
      <c r="F34" s="166"/>
      <c r="G34" s="3"/>
      <c r="H34" s="3"/>
      <c r="I34" s="3"/>
      <c r="J34" s="3"/>
      <c r="K34" s="3"/>
      <c r="L34" s="3"/>
      <c r="M34" s="3"/>
    </row>
    <row r="35" spans="1:13" ht="12.75" hidden="1" customHeight="1" x14ac:dyDescent="0.2">
      <c r="A35" s="24" t="s">
        <v>174</v>
      </c>
      <c r="B35" s="28"/>
      <c r="C35" s="3"/>
      <c r="D35" s="3">
        <f ca="1">IF(ISERROR(D30),120, 0.0000018830771*D30^6 - 0.00027734971*D30^5 + 0.016867019*D30^4 - 0.54658987*D30^3 + 10.14098*D30^2 - 107.08683*D30^1 + 610.02959)</f>
        <v>240.76113847964558</v>
      </c>
      <c r="E35" s="32"/>
      <c r="F35" s="166"/>
      <c r="G35" s="3"/>
      <c r="H35" s="3"/>
      <c r="I35" s="3"/>
      <c r="J35" s="3"/>
      <c r="K35" s="3"/>
      <c r="L35" s="3"/>
      <c r="M35" s="3"/>
    </row>
    <row r="36" spans="1:13" ht="12.75" hidden="1" customHeight="1" x14ac:dyDescent="0.2">
      <c r="A36" s="24" t="s">
        <v>51</v>
      </c>
      <c r="B36" s="28"/>
      <c r="C36" s="3"/>
      <c r="D36" s="3">
        <f ca="1">IF(ISERROR(D30),120, 508.856146*D30^-0.961422)</f>
        <v>93.889830688417945</v>
      </c>
      <c r="E36" s="32"/>
      <c r="F36" s="166"/>
      <c r="G36" s="3"/>
      <c r="H36" s="3"/>
      <c r="I36" s="3"/>
      <c r="J36" s="3"/>
      <c r="K36" s="3"/>
      <c r="L36" s="3"/>
      <c r="M36" s="3"/>
    </row>
    <row r="37" spans="1:13" ht="12.75" hidden="1" customHeight="1" x14ac:dyDescent="0.2">
      <c r="A37" s="24" t="s">
        <v>131</v>
      </c>
      <c r="B37" s="28"/>
      <c r="C37" s="3"/>
      <c r="D37" s="46" t="b">
        <f>IF(OR(E21=_dev_SWK,E21=_dev_SW4,E21=_dev_K1,E21=_dev_XLR,E21=_dev_Mic),1)</f>
        <v>0</v>
      </c>
      <c r="E37" s="32"/>
      <c r="F37" s="166"/>
      <c r="G37" s="3"/>
      <c r="H37" s="3"/>
      <c r="I37" s="3"/>
      <c r="J37" s="3"/>
      <c r="K37" s="3"/>
      <c r="L37" s="3"/>
      <c r="M37" s="3"/>
    </row>
    <row r="38" spans="1:13" ht="12.75" hidden="1" customHeight="1" x14ac:dyDescent="0.2">
      <c r="A38" s="24" t="s">
        <v>170</v>
      </c>
      <c r="B38" s="28"/>
      <c r="C38" s="3"/>
      <c r="D38" s="46">
        <f>D37 * IF(E21=_dev_K1, 4,  3)</f>
        <v>0</v>
      </c>
      <c r="E38" s="32"/>
      <c r="F38" s="166"/>
      <c r="G38" s="3"/>
      <c r="H38" s="3"/>
      <c r="I38" s="3"/>
      <c r="J38" s="3"/>
      <c r="K38" s="3"/>
      <c r="L38" s="3"/>
      <c r="M38" s="3"/>
    </row>
    <row r="39" spans="1:13" ht="12.75" hidden="1" customHeight="1" x14ac:dyDescent="0.2">
      <c r="A39" s="24" t="s">
        <v>167</v>
      </c>
      <c r="B39" s="28"/>
      <c r="C39" s="3"/>
      <c r="D39" s="120">
        <f>D37 * IF(E21=_dev_SWK,1+MIN(E22,D38), MIN(E22, D38))</f>
        <v>0</v>
      </c>
      <c r="E39" s="32"/>
      <c r="F39" s="166"/>
      <c r="G39" s="3"/>
      <c r="H39" s="3"/>
      <c r="I39" s="3"/>
      <c r="J39" s="3"/>
      <c r="K39" s="3"/>
      <c r="L39" s="3"/>
      <c r="M39" s="3"/>
    </row>
    <row r="40" spans="1:13" ht="12.75" hidden="1" customHeight="1" x14ac:dyDescent="0.2">
      <c r="A40" s="24" t="s">
        <v>52</v>
      </c>
      <c r="B40" s="28"/>
      <c r="C40" s="3"/>
      <c r="D40" s="3">
        <f ca="1" xml:space="preserve"> (D39)*IF(ISERROR(D30),120, 509.392176*D30^-1.076124)</f>
        <v>0</v>
      </c>
      <c r="E40" s="32"/>
      <c r="F40" s="166"/>
      <c r="G40" s="3"/>
      <c r="H40" s="3"/>
      <c r="I40" s="3"/>
      <c r="J40" s="3"/>
      <c r="K40" s="3"/>
      <c r="L40" s="3"/>
      <c r="M40" s="3"/>
    </row>
    <row r="41" spans="1:13" ht="12.75" hidden="1" customHeight="1" x14ac:dyDescent="0.2">
      <c r="A41" s="24" t="s">
        <v>57</v>
      </c>
      <c r="B41" s="28"/>
      <c r="C41" s="3"/>
      <c r="D41" s="34">
        <f ca="1">(IF(E21=_dev_None,0,IF(E21=_dev_ARC,D32,IF(E21=_dev_ARC_2,D33,IF(E21=_dev_ARC_2e, D34, IF(E21=_dev_ARC_3, D35, D36)))))+D40)/1000</f>
        <v>0.18727902186005632</v>
      </c>
      <c r="E41" s="32"/>
      <c r="F41" s="166"/>
      <c r="G41" s="3"/>
      <c r="H41" s="3"/>
      <c r="I41" s="3"/>
      <c r="J41" s="3"/>
      <c r="K41" s="3"/>
      <c r="L41" s="3"/>
      <c r="M41" s="3"/>
    </row>
    <row r="42" spans="1:13" ht="12.75" hidden="1" customHeight="1" x14ac:dyDescent="0.2">
      <c r="A42" s="24" t="s">
        <v>82</v>
      </c>
      <c r="B42" s="28"/>
      <c r="C42" s="3"/>
      <c r="D42" s="34">
        <f ca="1">D30*D41</f>
        <v>1.0862183267883265</v>
      </c>
      <c r="E42" s="32"/>
      <c r="F42" s="166"/>
      <c r="G42" s="3"/>
      <c r="H42" s="3"/>
      <c r="I42" s="3"/>
      <c r="J42" s="3"/>
      <c r="K42" s="3"/>
      <c r="L42" s="3"/>
      <c r="M42" s="3"/>
    </row>
    <row r="43" spans="1:13" ht="12.75" hidden="1" customHeight="1" x14ac:dyDescent="0.2">
      <c r="A43" s="24" t="s">
        <v>56</v>
      </c>
      <c r="B43" s="28"/>
      <c r="C43" s="3"/>
      <c r="D43" s="35">
        <f>IF(E21=_dev_None,10,IF(max_current = 0,4,IF(D30&gt;IF(E21=_dev_ARC,16,30),2,IF(ISERROR(D30),-1,IF(D30=D31,1,IF($B50&gt;max_current,3,0))))))</f>
        <v>4</v>
      </c>
      <c r="E43" s="32"/>
      <c r="F43" s="166"/>
      <c r="G43" s="3"/>
      <c r="H43" s="3"/>
      <c r="I43" s="3"/>
      <c r="J43" s="3"/>
      <c r="K43" s="3"/>
      <c r="L43" s="3"/>
      <c r="M43" s="3"/>
    </row>
    <row r="44" spans="1:13" x14ac:dyDescent="0.2">
      <c r="A44" s="30" t="s">
        <v>67</v>
      </c>
      <c r="B44" s="45">
        <f>C23+F23+I23+L23</f>
        <v>100</v>
      </c>
      <c r="C44"/>
      <c r="D44" s="46"/>
      <c r="E44" s="32"/>
      <c r="F44" s="3"/>
      <c r="G44" s="3"/>
      <c r="H44" s="3"/>
      <c r="I44" s="3"/>
      <c r="J44" s="3"/>
      <c r="K44" s="3"/>
      <c r="L44" s="3"/>
      <c r="M44" s="3"/>
    </row>
    <row r="45" spans="1:13" x14ac:dyDescent="0.2">
      <c r="A45" s="30" t="s">
        <v>79</v>
      </c>
      <c r="B45" s="75" t="str">
        <f ca="1">IF(B48&lt;&gt;"N/A",voltage_in*B48/1000,"N/A")</f>
        <v>N/A</v>
      </c>
      <c r="C45"/>
      <c r="D45" s="46"/>
      <c r="E45" s="32"/>
      <c r="F45" s="3"/>
      <c r="G45" s="3"/>
      <c r="H45" s="3"/>
      <c r="I45" s="3"/>
      <c r="J45" s="3"/>
      <c r="K45" s="3"/>
      <c r="L45" s="3"/>
      <c r="M45" s="3"/>
    </row>
    <row r="46" spans="1:13" x14ac:dyDescent="0.2">
      <c r="A46" s="76" t="s">
        <v>80</v>
      </c>
      <c r="B46" s="3" t="str">
        <f ca="1">IF(B48&lt;&gt;"N/A",D42+G42+J42+M42,"N/A")</f>
        <v>N/A</v>
      </c>
      <c r="C46"/>
      <c r="D46" s="46"/>
      <c r="E46" s="32"/>
      <c r="F46" s="3"/>
      <c r="G46" s="3"/>
      <c r="H46" s="3"/>
      <c r="I46" s="3"/>
      <c r="J46" s="3"/>
      <c r="K46" s="3"/>
      <c r="L46" s="3"/>
      <c r="M46" s="3"/>
    </row>
    <row r="47" spans="1:13" x14ac:dyDescent="0.2">
      <c r="A47" s="76" t="s">
        <v>81</v>
      </c>
      <c r="B47" s="3" t="str">
        <f ca="1">IF(B48&lt;&gt;"N/A",B45-B46,"N/A")</f>
        <v>N/A</v>
      </c>
      <c r="C47"/>
      <c r="D47" s="46"/>
      <c r="E47" s="32"/>
      <c r="F47" s="3"/>
      <c r="G47" s="3"/>
      <c r="H47" s="3"/>
      <c r="I47" s="3"/>
      <c r="J47" s="3"/>
      <c r="K47" s="3"/>
      <c r="L47" s="3"/>
      <c r="M47" s="3"/>
    </row>
    <row r="48" spans="1:13" x14ac:dyDescent="0.2">
      <c r="A48" s="36" t="s">
        <v>30</v>
      </c>
      <c r="B48" s="37" t="str">
        <f ca="1">IF(OR(ISERROR(D30),D30=D31),"N/A",(D41+G41+J41+M41)*1000)</f>
        <v>N/A</v>
      </c>
      <c r="C48" s="100" t="str">
        <f>IF(IF(OR(D43&lt;&gt;0,G43&lt;&gt;0,J43&lt;&gt;0,M43&lt;&gt;0),0,1),"OK","ERROR")</f>
        <v>ERROR</v>
      </c>
      <c r="D48" s="38"/>
      <c r="E48" s="41"/>
      <c r="F48" s="3"/>
      <c r="G48" s="3"/>
      <c r="H48" s="3"/>
      <c r="I48" s="3"/>
      <c r="J48" s="3"/>
      <c r="K48" s="3"/>
      <c r="L48" s="3"/>
      <c r="M48" s="3"/>
    </row>
    <row r="49" spans="1:48" ht="187.5" customHeight="1" x14ac:dyDescent="0.2">
      <c r="A49" s="169" t="s">
        <v>66</v>
      </c>
      <c r="B49" s="170"/>
      <c r="C49" s="170"/>
      <c r="D49" s="170"/>
      <c r="E49" s="170"/>
      <c r="F49" s="170"/>
      <c r="G49" s="170"/>
      <c r="H49" s="170"/>
      <c r="I49" s="23"/>
      <c r="J49" s="23"/>
      <c r="K49" s="23"/>
      <c r="L49" s="3"/>
      <c r="M49" s="3"/>
      <c r="AT49" s="167" t="s">
        <v>220</v>
      </c>
      <c r="AU49" s="168"/>
      <c r="AV49" s="157"/>
    </row>
    <row r="50" spans="1:48" ht="15.75" x14ac:dyDescent="0.2">
      <c r="A50" s="140" t="s">
        <v>28</v>
      </c>
      <c r="B50" s="141"/>
      <c r="C50" s="141"/>
      <c r="D50" s="141"/>
      <c r="E50" s="141"/>
      <c r="F50" s="141"/>
      <c r="G50" s="141"/>
      <c r="H50" s="142"/>
    </row>
    <row r="51" spans="1:48" ht="15.75" x14ac:dyDescent="0.25">
      <c r="A51" s="24"/>
      <c r="B51" s="27"/>
      <c r="C51" s="27"/>
      <c r="D51" s="154" t="s">
        <v>45</v>
      </c>
      <c r="E51" s="155"/>
      <c r="F51" s="28"/>
      <c r="G51" s="154" t="s">
        <v>5</v>
      </c>
      <c r="H51" s="155"/>
      <c r="I51"/>
      <c r="J51"/>
      <c r="K51"/>
      <c r="L51"/>
      <c r="M51"/>
      <c r="N51"/>
      <c r="O51"/>
      <c r="P51"/>
      <c r="Q51"/>
    </row>
    <row r="52" spans="1:48" ht="12.75" customHeight="1" x14ac:dyDescent="0.2">
      <c r="A52" s="24"/>
      <c r="B52" s="158" t="str">
        <f>IF(powering_device=_pwr_Select, "Powering Device Not Selected", powering_device)</f>
        <v>Powering Device Not Selected</v>
      </c>
      <c r="C52" s="29" t="s">
        <v>26</v>
      </c>
      <c r="D52" s="67" t="s">
        <v>48</v>
      </c>
      <c r="E52" s="117" t="s">
        <v>129</v>
      </c>
      <c r="F52" s="29" t="s">
        <v>26</v>
      </c>
      <c r="G52" s="67" t="s">
        <v>48</v>
      </c>
      <c r="H52" s="117" t="s">
        <v>129</v>
      </c>
      <c r="I52"/>
      <c r="J52"/>
      <c r="K52"/>
      <c r="L52"/>
      <c r="M52"/>
      <c r="N52"/>
      <c r="O52"/>
      <c r="P52"/>
      <c r="Q52"/>
    </row>
    <row r="53" spans="1:48" x14ac:dyDescent="0.2">
      <c r="A53" s="30" t="s">
        <v>19</v>
      </c>
      <c r="B53" s="159"/>
      <c r="C53" s="97">
        <v>24</v>
      </c>
      <c r="D53" s="68" t="s">
        <v>49</v>
      </c>
      <c r="E53" s="52">
        <v>0</v>
      </c>
      <c r="F53" s="97">
        <v>24</v>
      </c>
      <c r="G53" s="68" t="s">
        <v>49</v>
      </c>
      <c r="H53" s="52">
        <v>0</v>
      </c>
      <c r="I53"/>
      <c r="J53"/>
      <c r="K53"/>
      <c r="L53"/>
      <c r="M53"/>
      <c r="N53"/>
      <c r="O53"/>
      <c r="P53"/>
      <c r="Q53"/>
    </row>
    <row r="54" spans="1:48" ht="14.25" customHeight="1" x14ac:dyDescent="0.2">
      <c r="A54" s="30" t="s">
        <v>102</v>
      </c>
      <c r="B54" s="160"/>
      <c r="C54" s="53">
        <v>100</v>
      </c>
      <c r="D54" s="143" t="str">
        <f>VLOOKUP(D74,$AS$6:$AT$12,2,FALSE)</f>
        <v>Must Select Powering Device Above</v>
      </c>
      <c r="E54" s="144"/>
      <c r="F54" s="54">
        <v>10</v>
      </c>
      <c r="G54" s="143" t="str">
        <f>VLOOKUP(G74,$AS$6:$AT$12,2,FALSE)</f>
        <v>Must Select Powering Device Above</v>
      </c>
      <c r="H54" s="144"/>
      <c r="I54"/>
      <c r="J54"/>
      <c r="K54"/>
      <c r="L54"/>
      <c r="M54"/>
      <c r="N54"/>
      <c r="O54"/>
      <c r="P54"/>
      <c r="Q54"/>
    </row>
    <row r="55" spans="1:48" ht="14.25" customHeight="1" x14ac:dyDescent="0.2">
      <c r="A55" s="24"/>
      <c r="B55" s="161"/>
      <c r="C55" s="28"/>
      <c r="D55" s="145"/>
      <c r="E55" s="146"/>
      <c r="F55" s="28"/>
      <c r="G55" s="145"/>
      <c r="H55" s="146"/>
      <c r="I55"/>
      <c r="J55"/>
      <c r="K55"/>
      <c r="L55"/>
      <c r="M55"/>
      <c r="N55"/>
      <c r="O55"/>
      <c r="P55"/>
      <c r="Q55"/>
    </row>
    <row r="56" spans="1:48" ht="14.25" customHeight="1" x14ac:dyDescent="0.2">
      <c r="A56" s="24"/>
      <c r="B56" s="25"/>
      <c r="C56" s="28"/>
      <c r="D56" s="147"/>
      <c r="E56" s="148"/>
      <c r="F56" s="28"/>
      <c r="G56" s="147"/>
      <c r="H56" s="148"/>
      <c r="I56"/>
      <c r="J56"/>
      <c r="K56"/>
      <c r="L56"/>
      <c r="M56"/>
      <c r="N56"/>
      <c r="O56"/>
      <c r="P56"/>
      <c r="Q56"/>
    </row>
    <row r="57" spans="1:48" hidden="1" x14ac:dyDescent="0.2">
      <c r="A57" s="24" t="s">
        <v>22</v>
      </c>
      <c r="B57" s="28"/>
      <c r="C57" s="3">
        <f>((C54/1000)/2)*IF(C53 = 24,resist_24,IF(C53 = 26,resist_26,IF(C53 = 28,resist_28,0)))*cable_comp</f>
        <v>1.5400000000000003</v>
      </c>
      <c r="D57" s="31"/>
      <c r="E57" s="3"/>
      <c r="F57" s="3">
        <f>((F54/1000)/2)*IF(F53 = 24,resist_24,IF(F53 = 26,resist_26,IF(F53 = 28,resist_28,0)))*cable_comp</f>
        <v>0.15400000000000003</v>
      </c>
      <c r="G57" s="31"/>
      <c r="H57" s="32"/>
      <c r="I57"/>
      <c r="J57"/>
      <c r="K57"/>
      <c r="L57"/>
      <c r="M57"/>
      <c r="N57" s="2"/>
      <c r="O57" s="2"/>
      <c r="P57" s="2"/>
      <c r="Q57" s="2"/>
    </row>
    <row r="58" spans="1:48" hidden="1" x14ac:dyDescent="0.2">
      <c r="A58" s="24" t="s">
        <v>23</v>
      </c>
      <c r="B58" s="28"/>
      <c r="C58" s="3">
        <f>IF(AND(ARC_audio="Grounded",powering_device&lt;&gt;"ARC-PSe"),C57/2,C57)</f>
        <v>1.5400000000000003</v>
      </c>
      <c r="D58" s="28"/>
      <c r="E58" s="3"/>
      <c r="F58" s="3">
        <f>IF(AND(ARC_audio="Grounded",powering_device&lt;&gt;"ARC-PSe"),F57/2,F57)</f>
        <v>0.15400000000000003</v>
      </c>
      <c r="G58" s="28"/>
      <c r="H58" s="32"/>
      <c r="I58"/>
      <c r="J58"/>
      <c r="K58"/>
      <c r="L58"/>
      <c r="M58"/>
      <c r="N58" s="2"/>
      <c r="O58" s="2"/>
      <c r="P58" s="2"/>
      <c r="Q58" s="2"/>
    </row>
    <row r="59" spans="1:48" hidden="1" x14ac:dyDescent="0.2">
      <c r="A59" s="24" t="s">
        <v>24</v>
      </c>
      <c r="B59" s="28">
        <f>voltage_in</f>
        <v>0</v>
      </c>
      <c r="C59" s="3"/>
      <c r="D59" s="3">
        <f ca="1">B59- (C57* (D72+G72+J72+M72))</f>
        <v>-0.57681938732897353</v>
      </c>
      <c r="E59" s="3"/>
      <c r="F59" s="3"/>
      <c r="G59" s="3">
        <f ca="1">D59-(F57*(G72+J72+M72+P72))</f>
        <v>-0.60566035669542218</v>
      </c>
      <c r="H59" s="32"/>
      <c r="I59"/>
      <c r="J59"/>
      <c r="K59"/>
      <c r="L59"/>
      <c r="M59"/>
      <c r="N59" s="2"/>
      <c r="O59" s="2"/>
      <c r="P59" s="2"/>
      <c r="Q59" s="2"/>
    </row>
    <row r="60" spans="1:48" hidden="1" x14ac:dyDescent="0.2">
      <c r="A60" s="24" t="s">
        <v>25</v>
      </c>
      <c r="B60" s="28">
        <v>0</v>
      </c>
      <c r="C60" s="33"/>
      <c r="D60" s="3">
        <f ca="1">B60+ C58 * (D72+G72+J72+M72)</f>
        <v>0.57681938732897353</v>
      </c>
      <c r="E60" s="3"/>
      <c r="F60" s="3"/>
      <c r="G60" s="3">
        <f ca="1">D60+F58*(G72+J72+M72+T72)</f>
        <v>0.60566035669542218</v>
      </c>
      <c r="H60" s="32"/>
      <c r="I60"/>
      <c r="J60"/>
      <c r="K60"/>
      <c r="L60"/>
      <c r="M60"/>
      <c r="N60" s="2"/>
      <c r="O60" s="2"/>
      <c r="P60" s="2"/>
      <c r="Q60" s="2"/>
    </row>
    <row r="61" spans="1:48" hidden="1" x14ac:dyDescent="0.2">
      <c r="A61" s="24" t="s">
        <v>20</v>
      </c>
      <c r="B61" s="28"/>
      <c r="C61" s="3"/>
      <c r="D61" s="3">
        <f ca="1">MAX(D59-D60,D62)</f>
        <v>5.8</v>
      </c>
      <c r="E61" s="3"/>
      <c r="F61" s="3"/>
      <c r="G61" s="3">
        <f ca="1">MAX(G59-G60,G62)</f>
        <v>5.8</v>
      </c>
      <c r="H61" s="32"/>
      <c r="I61"/>
      <c r="J61"/>
      <c r="K61"/>
      <c r="L61"/>
      <c r="M61"/>
      <c r="N61" s="3"/>
      <c r="O61" s="3"/>
      <c r="P61" s="3"/>
      <c r="Q61" s="3"/>
    </row>
    <row r="62" spans="1:48" hidden="1" x14ac:dyDescent="0.2">
      <c r="A62" s="24" t="s">
        <v>54</v>
      </c>
      <c r="B62" s="28"/>
      <c r="C62" s="3"/>
      <c r="D62" s="3">
        <f>IF(E52=_dev_ARC,ARC_min_V,IF(E52=_dev_ARC_2e,ARC_2e_min_v,IF(E52=_dev_ARC_3, ARC_3_min_v, new_ARC_min_V)))</f>
        <v>5.8</v>
      </c>
      <c r="E62" s="3"/>
      <c r="F62" s="3"/>
      <c r="G62" s="3">
        <f>IF(H52=_dev_ARC,ARC_min_V,IF(H52=_dev_ARC_2e,ARC_2e_min_v,IF(H52=_dev_ARC_3, ARC_3_min_v, new_ARC_min_V)))</f>
        <v>5.8</v>
      </c>
      <c r="H62" s="32"/>
      <c r="I62"/>
      <c r="J62"/>
      <c r="K62"/>
      <c r="L62"/>
      <c r="M62"/>
      <c r="N62" s="3"/>
      <c r="O62" s="3"/>
      <c r="P62" s="3"/>
      <c r="Q62" s="3"/>
    </row>
    <row r="63" spans="1:48" hidden="1" x14ac:dyDescent="0.2">
      <c r="A63" s="24" t="s">
        <v>21</v>
      </c>
      <c r="B63" s="28"/>
      <c r="C63" s="3"/>
      <c r="D63" s="3">
        <f ca="1">IF(OR(ISERROR(D61),D61&gt;16),120,-0.00529289431*D61^5 + 0.312305242*D61^4 - 7.38502812*D61^3 + 88.7945431*D61^2 - 561.872531*D61 + 1699.84701)</f>
        <v>305.80698569499168</v>
      </c>
      <c r="E63" s="3"/>
      <c r="F63" s="3"/>
      <c r="G63" s="3">
        <f ca="1">IF(OR(ISERROR(G61),G61&gt;16),120,-0.00529289431*G61^5 + 0.312305242*G61^4 - 7.38502812*G61^3 + 88.7945431*G61^2 - 561.872531*G61 + 1699.84701)</f>
        <v>305.80698569499168</v>
      </c>
      <c r="H63" s="32"/>
      <c r="I63"/>
      <c r="J63"/>
      <c r="K63"/>
      <c r="L63"/>
      <c r="M63"/>
      <c r="N63" s="3"/>
      <c r="O63" s="3"/>
      <c r="P63" s="3"/>
      <c r="Q63" s="3"/>
    </row>
    <row r="64" spans="1:48" hidden="1" x14ac:dyDescent="0.2">
      <c r="A64" s="24" t="s">
        <v>50</v>
      </c>
      <c r="B64" s="28"/>
      <c r="C64" s="3"/>
      <c r="D64" s="3">
        <f ca="1">IF(ISERROR(D61),120, 1756.007* D61^(-1.01472))</f>
        <v>295.02620249754278</v>
      </c>
      <c r="E64" s="3"/>
      <c r="F64" s="3"/>
      <c r="G64" s="3">
        <f ca="1">IF(ISERROR(G61),120, 1756.007* G61^(-1.01472))</f>
        <v>295.02620249754278</v>
      </c>
      <c r="H64" s="32"/>
      <c r="I64"/>
      <c r="J64"/>
      <c r="K64"/>
      <c r="L64"/>
      <c r="M64"/>
      <c r="N64" s="3"/>
      <c r="O64" s="3"/>
      <c r="P64" s="3"/>
      <c r="Q64" s="3"/>
    </row>
    <row r="65" spans="1:17" hidden="1" x14ac:dyDescent="0.2">
      <c r="A65" s="24" t="s">
        <v>128</v>
      </c>
      <c r="B65" s="28"/>
      <c r="C65" s="3"/>
      <c r="D65" s="3">
        <f ca="1">IF(ISERROR(D61),120, -0.000014363659*D61^6 + 0.00167333112*D61^5 - 0.0772490725*D61^4 + 1.77799718*D61^3 - 20.7188537*D61^2 + 101.5283*D61^1 + 25.4712002)</f>
        <v>187.27902186005633</v>
      </c>
      <c r="E65" s="3"/>
      <c r="F65" s="3"/>
      <c r="G65" s="3">
        <f ca="1">IF(ISERROR(G61),120, -0.000014363659*G61^6 + 0.00167333112*G61^5 - 0.0772490725*G61^4 + 1.77799718*G61^3 - 20.7188537*G61^2 + 101.5283*G61^1 + 25.4712002)</f>
        <v>187.27902186005633</v>
      </c>
      <c r="H65" s="32"/>
      <c r="I65" s="3"/>
      <c r="J65" s="3"/>
      <c r="K65" s="3"/>
      <c r="L65" s="3"/>
      <c r="M65" s="3"/>
    </row>
    <row r="66" spans="1:17" hidden="1" x14ac:dyDescent="0.2">
      <c r="A66" s="24" t="s">
        <v>174</v>
      </c>
      <c r="B66" s="28"/>
      <c r="C66" s="3"/>
      <c r="D66" s="3">
        <f ca="1">IF(ISERROR(D61),120, 0.0000018830771*D61^6 - 0.00027734971*D61^5 + 0.016867019*D61^4 - 0.54658987*D61^3 + 10.14098*D61^2 - 107.08683*D61^1 + 610.02959)</f>
        <v>240.76113847964558</v>
      </c>
      <c r="E66" s="3"/>
      <c r="F66" s="3"/>
      <c r="G66" s="3">
        <f ca="1">IF(ISERROR(G61),120, 0.0000018830771*G61^6 - 0.00027734971*G61^5 + 0.016867019*G61^4 - 0.54658987*G61^3 + 10.14098*G61^2 - 107.08683*G61^1 + 610.02959)</f>
        <v>240.76113847964558</v>
      </c>
      <c r="H66" s="32"/>
      <c r="I66" s="3"/>
      <c r="J66" s="3"/>
      <c r="K66" s="3"/>
      <c r="L66" s="3"/>
      <c r="M66" s="3"/>
    </row>
    <row r="67" spans="1:17" hidden="1" x14ac:dyDescent="0.2">
      <c r="A67" s="24" t="s">
        <v>51</v>
      </c>
      <c r="B67" s="28"/>
      <c r="C67" s="3"/>
      <c r="D67" s="3">
        <f ca="1">IF(ISERROR(D61),120, 508.856146*D61^-0.961422)</f>
        <v>93.889830688417945</v>
      </c>
      <c r="E67" s="3"/>
      <c r="F67" s="3"/>
      <c r="G67" s="3">
        <f ca="1">IF(ISERROR(G61),120, 508.856146*G61^-0.961422)</f>
        <v>93.889830688417945</v>
      </c>
      <c r="H67" s="32"/>
      <c r="I67"/>
      <c r="J67"/>
      <c r="K67"/>
      <c r="L67"/>
      <c r="M67"/>
      <c r="N67" s="3"/>
      <c r="O67" s="3"/>
      <c r="P67" s="3"/>
      <c r="Q67" s="3"/>
    </row>
    <row r="68" spans="1:17" hidden="1" x14ac:dyDescent="0.2">
      <c r="A68" s="24" t="s">
        <v>131</v>
      </c>
      <c r="B68" s="28"/>
      <c r="C68" s="3"/>
      <c r="D68" s="46" t="b">
        <f>IF(OR(E52=_dev_SWK,E52=_dev_SW4,E52=_dev_K1,E52=_dev_XLR,E52=_dev_Mic),1)</f>
        <v>0</v>
      </c>
      <c r="E68" s="3"/>
      <c r="F68" s="3"/>
      <c r="G68" s="46" t="b">
        <f>IF(OR(H52=_dev_SWK,H52=_dev_SW4,H52=_dev_K1,H52=_dev_XLR,H52=_dev_Mic),1)</f>
        <v>0</v>
      </c>
      <c r="H68" s="32"/>
      <c r="I68"/>
      <c r="J68"/>
      <c r="K68"/>
      <c r="L68"/>
      <c r="M68"/>
      <c r="N68" s="3"/>
      <c r="O68" s="3"/>
      <c r="P68" s="3"/>
      <c r="Q68" s="3"/>
    </row>
    <row r="69" spans="1:17" hidden="1" x14ac:dyDescent="0.2">
      <c r="A69" s="24" t="s">
        <v>170</v>
      </c>
      <c r="B69" s="28"/>
      <c r="C69" s="3"/>
      <c r="D69" s="46">
        <f>D68 * IF(E52=_dev_K1, 4,  3)</f>
        <v>0</v>
      </c>
      <c r="E69" s="3"/>
      <c r="F69" s="3"/>
      <c r="G69" s="46">
        <f>G68 * IF(H52=_dev_K1, 4,  3)</f>
        <v>0</v>
      </c>
      <c r="H69" s="32"/>
      <c r="I69" s="3"/>
      <c r="J69" s="3"/>
      <c r="K69" s="3"/>
      <c r="L69" s="3"/>
      <c r="M69" s="3"/>
    </row>
    <row r="70" spans="1:17" hidden="1" x14ac:dyDescent="0.2">
      <c r="A70" s="24" t="s">
        <v>167</v>
      </c>
      <c r="B70" s="28"/>
      <c r="C70" s="3"/>
      <c r="D70" s="120">
        <f>D68 * IF(E52=_dev_SWK,1+MIN(E53,D69), MIN(E53, D69))</f>
        <v>0</v>
      </c>
      <c r="E70" s="3"/>
      <c r="F70" s="3"/>
      <c r="G70" s="120">
        <f>G68 * IF(H52=_dev_SWK,1+MIN(H53,G69), MIN(H53, G69))</f>
        <v>0</v>
      </c>
      <c r="H70" s="32"/>
      <c r="I70" s="3"/>
      <c r="J70" s="3"/>
      <c r="K70" s="3"/>
      <c r="L70" s="3"/>
      <c r="M70" s="3"/>
    </row>
    <row r="71" spans="1:17" hidden="1" x14ac:dyDescent="0.2">
      <c r="A71" s="24" t="s">
        <v>52</v>
      </c>
      <c r="B71" s="28"/>
      <c r="C71" s="3"/>
      <c r="D71" s="3">
        <f ca="1" xml:space="preserve"> (D70)*IF(ISERROR(D61),120, 509.392176*D61^-1.076124)</f>
        <v>0</v>
      </c>
      <c r="E71" s="3"/>
      <c r="F71" s="3"/>
      <c r="G71" s="3">
        <f ca="1" xml:space="preserve"> (G70)*IF(ISERROR(G61),120, 509.392176*G61^-1.076124)</f>
        <v>0</v>
      </c>
      <c r="H71" s="32"/>
      <c r="I71"/>
      <c r="J71"/>
      <c r="K71"/>
      <c r="L71"/>
      <c r="M71"/>
      <c r="N71" s="3"/>
      <c r="O71" s="3"/>
      <c r="P71" s="3"/>
      <c r="Q71" s="3"/>
    </row>
    <row r="72" spans="1:17" hidden="1" x14ac:dyDescent="0.2">
      <c r="A72" s="24" t="s">
        <v>57</v>
      </c>
      <c r="B72" s="28"/>
      <c r="C72" s="3"/>
      <c r="D72" s="34">
        <f ca="1">(IF(E52=_dev_None,0,IF(E52=_dev_ARC,D63,IF(E52=_dev_ARC_2,D64,IF(E52=_dev_ARC_2e, D65, IF(E52=_dev_ARC_3, D66, D67)))))+D71)/1000</f>
        <v>0.18727902186005632</v>
      </c>
      <c r="E72" s="3"/>
      <c r="F72" s="3"/>
      <c r="G72" s="34">
        <f ca="1">(IF(H52=_dev_None,0,IF(H52=_dev_ARC,G63,IF(H52=_dev_ARC_2,G64,IF(H52=_dev_ARC_2e, G65, IF(H52=_dev_ARC_3, G66, G67)))))+G71)/1000</f>
        <v>0.18727902186005632</v>
      </c>
      <c r="H72" s="32"/>
      <c r="I72"/>
      <c r="J72"/>
      <c r="K72"/>
      <c r="L72"/>
      <c r="M72"/>
      <c r="N72" s="3"/>
      <c r="O72" s="3"/>
      <c r="P72" s="3"/>
      <c r="Q72" s="3"/>
    </row>
    <row r="73" spans="1:17" hidden="1" x14ac:dyDescent="0.2">
      <c r="A73" s="24" t="s">
        <v>82</v>
      </c>
      <c r="B73" s="28"/>
      <c r="C73" s="3"/>
      <c r="D73" s="34">
        <f ca="1">D61*D72</f>
        <v>1.0862183267883265</v>
      </c>
      <c r="E73" s="6"/>
      <c r="F73" s="3"/>
      <c r="G73" s="34">
        <f ca="1">G61*G72</f>
        <v>1.0862183267883265</v>
      </c>
      <c r="H73" s="32"/>
      <c r="I73" s="3"/>
      <c r="J73" s="34"/>
      <c r="L73" s="3"/>
      <c r="M73" s="34"/>
    </row>
    <row r="74" spans="1:17" hidden="1" x14ac:dyDescent="0.2">
      <c r="A74" s="24" t="s">
        <v>56</v>
      </c>
      <c r="B74" s="28"/>
      <c r="C74" s="3"/>
      <c r="D74" s="35">
        <f>IF(E52=_dev_None,10,IF(max_current = 0,4,IF(D61&gt;IF(E52=_dev_ARC,16,30),2,IF(ISERROR(D61),-1,IF(D61=D62,1,IF($B81&gt;max_current,3,0))))))</f>
        <v>4</v>
      </c>
      <c r="E74" s="3"/>
      <c r="F74" s="3"/>
      <c r="G74" s="35">
        <f>IF(H52=_dev_None,10,IF(max_current = 0,4,IF(G61&gt;IF(H52=_dev_ARC,16,30),2,IF(ISERROR(G61),-1,IF(G61=G62,1,IF($B81&gt;max_current,3,0))))))</f>
        <v>4</v>
      </c>
      <c r="H74" s="32"/>
      <c r="I74"/>
      <c r="J74"/>
      <c r="K74"/>
      <c r="L74"/>
      <c r="M74"/>
      <c r="N74" s="3"/>
      <c r="O74" s="3"/>
      <c r="P74" s="3"/>
      <c r="Q74" s="3"/>
    </row>
    <row r="75" spans="1:17" x14ac:dyDescent="0.2">
      <c r="A75" s="30" t="s">
        <v>67</v>
      </c>
      <c r="B75" s="45">
        <f>C54+F54+I54+L54</f>
        <v>110</v>
      </c>
      <c r="C75"/>
      <c r="D75" s="46"/>
      <c r="E75" s="3"/>
      <c r="F75" s="3"/>
      <c r="G75" s="3"/>
      <c r="H75" s="32"/>
      <c r="I75" s="3"/>
      <c r="J75" s="3"/>
      <c r="K75" s="3"/>
      <c r="L75" s="3"/>
      <c r="M75" s="3"/>
    </row>
    <row r="76" spans="1:17" x14ac:dyDescent="0.2">
      <c r="A76" s="30" t="s">
        <v>79</v>
      </c>
      <c r="B76" s="75" t="str">
        <f ca="1">IF(B79&lt;&gt;"N/A",voltage_in*B79/1000,"N/A")</f>
        <v>N/A</v>
      </c>
      <c r="C76"/>
      <c r="D76" s="46"/>
      <c r="E76" s="6"/>
      <c r="F76" s="3"/>
      <c r="G76" s="3"/>
      <c r="H76" s="32"/>
      <c r="I76" s="3"/>
      <c r="J76" s="3"/>
      <c r="L76" s="3"/>
      <c r="M76" s="3"/>
    </row>
    <row r="77" spans="1:17" x14ac:dyDescent="0.2">
      <c r="A77" s="76" t="s">
        <v>80</v>
      </c>
      <c r="B77" s="3" t="str">
        <f ca="1">IF(B79&lt;&gt;"N/A",D73+G73+J73+M73,"N/A")</f>
        <v>N/A</v>
      </c>
      <c r="C77"/>
      <c r="D77" s="46"/>
      <c r="E77" s="6"/>
      <c r="F77" s="3"/>
      <c r="G77" s="3"/>
      <c r="H77" s="32"/>
      <c r="I77" s="3"/>
      <c r="J77" s="3"/>
      <c r="L77" s="3"/>
      <c r="M77" s="3"/>
    </row>
    <row r="78" spans="1:17" x14ac:dyDescent="0.2">
      <c r="A78" s="76" t="s">
        <v>81</v>
      </c>
      <c r="B78" s="3" t="str">
        <f ca="1">IF(B79&lt;&gt;"N/A",B76-B77,"N/A")</f>
        <v>N/A</v>
      </c>
      <c r="C78"/>
      <c r="D78" s="46"/>
      <c r="E78" s="6"/>
      <c r="F78" s="3"/>
      <c r="G78" s="3"/>
      <c r="H78" s="32"/>
      <c r="I78" s="3"/>
      <c r="J78" s="3"/>
      <c r="L78" s="3"/>
      <c r="M78" s="3"/>
    </row>
    <row r="79" spans="1:17" x14ac:dyDescent="0.2">
      <c r="A79" s="36" t="s">
        <v>30</v>
      </c>
      <c r="B79" s="37" t="str">
        <f ca="1">IF(OR(ISERROR(D61),D61=D62),"N/A",(D72+G72+J72+M72)*1000)</f>
        <v>N/A</v>
      </c>
      <c r="C79" s="100" t="str">
        <f>IF(IF(OR(D74&lt;&gt;0,G74&lt;&gt;0,J74&lt;&gt;0,M74&lt;&gt;0),0,1),"OK","ERROR")</f>
        <v>ERROR</v>
      </c>
      <c r="D79" s="38"/>
      <c r="E79" s="39"/>
      <c r="F79" s="39"/>
      <c r="G79" s="39"/>
      <c r="H79" s="41"/>
      <c r="I79" s="3"/>
      <c r="J79" s="3"/>
      <c r="K79" s="3"/>
      <c r="L79" s="3"/>
      <c r="M79" s="3"/>
    </row>
    <row r="80" spans="1:17" ht="187.5" customHeight="1" x14ac:dyDescent="0.2">
      <c r="A80" s="156"/>
      <c r="B80" s="157"/>
      <c r="C80" s="157"/>
      <c r="D80" s="157"/>
      <c r="E80" s="157"/>
      <c r="F80" s="157"/>
      <c r="G80" s="157"/>
      <c r="H80" s="157"/>
      <c r="I80" s="157"/>
      <c r="J80" s="157"/>
      <c r="K80" s="157"/>
      <c r="L80" s="3"/>
      <c r="M80" s="3"/>
    </row>
    <row r="81" spans="1:17" ht="15.75" x14ac:dyDescent="0.2">
      <c r="A81" s="140" t="s">
        <v>29</v>
      </c>
      <c r="B81" s="141"/>
      <c r="C81" s="141"/>
      <c r="D81" s="141"/>
      <c r="E81" s="141"/>
      <c r="F81" s="141"/>
      <c r="G81" s="141"/>
      <c r="H81" s="141"/>
      <c r="I81" s="141"/>
      <c r="J81" s="141"/>
      <c r="K81" s="142"/>
    </row>
    <row r="82" spans="1:17" ht="15.75" x14ac:dyDescent="0.25">
      <c r="A82" s="24"/>
      <c r="B82" s="27"/>
      <c r="C82" s="27"/>
      <c r="D82" s="154" t="s">
        <v>45</v>
      </c>
      <c r="E82" s="155"/>
      <c r="F82" s="28"/>
      <c r="G82" s="154" t="s">
        <v>5</v>
      </c>
      <c r="H82" s="155"/>
      <c r="I82" s="28"/>
      <c r="J82" s="154" t="s">
        <v>6</v>
      </c>
      <c r="K82" s="155"/>
      <c r="L82"/>
      <c r="M82"/>
      <c r="N82"/>
      <c r="O82"/>
      <c r="P82"/>
      <c r="Q82"/>
    </row>
    <row r="83" spans="1:17" ht="12.75" customHeight="1" x14ac:dyDescent="0.2">
      <c r="A83" s="24"/>
      <c r="B83" s="158" t="str">
        <f>IF(powering_device=_pwr_Select, "Powering Device Not Selected", powering_device)</f>
        <v>Powering Device Not Selected</v>
      </c>
      <c r="C83" s="29" t="s">
        <v>26</v>
      </c>
      <c r="D83" s="67" t="s">
        <v>48</v>
      </c>
      <c r="E83" s="117" t="s">
        <v>129</v>
      </c>
      <c r="F83" s="29" t="s">
        <v>26</v>
      </c>
      <c r="G83" s="67" t="s">
        <v>48</v>
      </c>
      <c r="H83" s="117" t="s">
        <v>129</v>
      </c>
      <c r="I83" s="29" t="s">
        <v>26</v>
      </c>
      <c r="J83" s="67" t="s">
        <v>48</v>
      </c>
      <c r="K83" s="117" t="s">
        <v>129</v>
      </c>
      <c r="L83"/>
      <c r="M83"/>
      <c r="N83"/>
      <c r="O83"/>
      <c r="P83"/>
      <c r="Q83"/>
    </row>
    <row r="84" spans="1:17" x14ac:dyDescent="0.2">
      <c r="A84" s="30" t="s">
        <v>19</v>
      </c>
      <c r="B84" s="159"/>
      <c r="C84" s="97">
        <v>24</v>
      </c>
      <c r="D84" s="68" t="s">
        <v>49</v>
      </c>
      <c r="E84" s="52">
        <v>0</v>
      </c>
      <c r="F84" s="97">
        <v>24</v>
      </c>
      <c r="G84" s="68" t="s">
        <v>49</v>
      </c>
      <c r="H84" s="52">
        <v>0</v>
      </c>
      <c r="I84" s="97">
        <v>24</v>
      </c>
      <c r="J84" s="68" t="s">
        <v>49</v>
      </c>
      <c r="K84" s="52">
        <v>0</v>
      </c>
      <c r="L84"/>
      <c r="M84"/>
      <c r="N84"/>
      <c r="O84"/>
      <c r="P84"/>
      <c r="Q84"/>
    </row>
    <row r="85" spans="1:17" ht="14.25" customHeight="1" x14ac:dyDescent="0.2">
      <c r="A85" s="30" t="s">
        <v>102</v>
      </c>
      <c r="B85" s="160"/>
      <c r="C85" s="53">
        <v>100</v>
      </c>
      <c r="D85" s="143" t="str">
        <f>VLOOKUP(D105,$AS$6:$AT$12,2,FALSE)</f>
        <v>Must Select Powering Device Above</v>
      </c>
      <c r="E85" s="144"/>
      <c r="F85" s="54">
        <v>10</v>
      </c>
      <c r="G85" s="143" t="str">
        <f>VLOOKUP(G105,$AS$6:$AT$12,2,FALSE)</f>
        <v>Must Select Powering Device Above</v>
      </c>
      <c r="H85" s="144"/>
      <c r="I85" s="54">
        <v>10</v>
      </c>
      <c r="J85" s="143" t="str">
        <f>VLOOKUP(J105,$AS$6:$AT$12,2,FALSE)</f>
        <v>Must Select Powering Device Above</v>
      </c>
      <c r="K85" s="144"/>
      <c r="L85"/>
      <c r="M85"/>
      <c r="N85"/>
      <c r="O85"/>
      <c r="P85"/>
      <c r="Q85"/>
    </row>
    <row r="86" spans="1:17" ht="14.25" customHeight="1" x14ac:dyDescent="0.2">
      <c r="A86" s="24"/>
      <c r="B86" s="161"/>
      <c r="C86" s="28"/>
      <c r="D86" s="145"/>
      <c r="E86" s="146"/>
      <c r="F86" s="28"/>
      <c r="G86" s="145"/>
      <c r="H86" s="146"/>
      <c r="I86" s="28"/>
      <c r="J86" s="145"/>
      <c r="K86" s="146"/>
      <c r="L86"/>
      <c r="M86"/>
      <c r="N86"/>
      <c r="O86"/>
      <c r="P86"/>
      <c r="Q86"/>
    </row>
    <row r="87" spans="1:17" ht="14.25" customHeight="1" x14ac:dyDescent="0.2">
      <c r="A87" s="24"/>
      <c r="B87" s="25"/>
      <c r="C87" s="28"/>
      <c r="D87" s="147"/>
      <c r="E87" s="148"/>
      <c r="F87" s="28"/>
      <c r="G87" s="147"/>
      <c r="H87" s="148"/>
      <c r="I87" s="28"/>
      <c r="J87" s="147"/>
      <c r="K87" s="148"/>
      <c r="L87"/>
      <c r="M87"/>
      <c r="N87"/>
      <c r="O87"/>
      <c r="P87"/>
      <c r="Q87"/>
    </row>
    <row r="88" spans="1:17" hidden="1" x14ac:dyDescent="0.2">
      <c r="A88" s="24" t="s">
        <v>22</v>
      </c>
      <c r="B88" s="28"/>
      <c r="C88" s="3">
        <f>((C85/1000)/2)*IF(C84 = 24,resist_24,IF(C84 = 26,resist_26,IF(C84 = 28,resist_28,0)))*cable_comp</f>
        <v>1.5400000000000003</v>
      </c>
      <c r="D88" s="31"/>
      <c r="E88" s="3"/>
      <c r="F88" s="3">
        <f>((F85/1000)/2)*IF(F84 = 24,resist_24,IF(F84 = 26,resist_26,IF(F84 = 28,resist_28,0)))*cable_comp</f>
        <v>0.15400000000000003</v>
      </c>
      <c r="G88" s="31"/>
      <c r="H88" s="3"/>
      <c r="I88" s="3">
        <f>((I85/1000)/2)*IF(I84 = 24,resist_24,IF(I84 = 26,resist_26,IF(I84 = 28,resist_28,0)))*cable_comp</f>
        <v>0.15400000000000003</v>
      </c>
      <c r="J88" s="31"/>
      <c r="K88" s="32"/>
      <c r="L88"/>
      <c r="M88"/>
      <c r="N88" s="2"/>
      <c r="O88" s="2"/>
      <c r="P88" s="2"/>
      <c r="Q88" s="2"/>
    </row>
    <row r="89" spans="1:17" hidden="1" x14ac:dyDescent="0.2">
      <c r="A89" s="24" t="s">
        <v>23</v>
      </c>
      <c r="B89" s="28"/>
      <c r="C89" s="3">
        <f>IF(AND(ARC_audio="Grounded",powering_device&lt;&gt;"ARC-PSe"),C88/2,C88)</f>
        <v>1.5400000000000003</v>
      </c>
      <c r="D89" s="28"/>
      <c r="E89" s="3"/>
      <c r="F89" s="3">
        <f>IF(AND(ARC_audio="Grounded",powering_device&lt;&gt;"ARC-PSe"),F88/2,F88)</f>
        <v>0.15400000000000003</v>
      </c>
      <c r="G89" s="28"/>
      <c r="H89" s="3"/>
      <c r="I89" s="3">
        <f>IF(AND(ARC_audio="Grounded",powering_device&lt;&gt;"ARC-PSe"),I88/2,I88)</f>
        <v>0.15400000000000003</v>
      </c>
      <c r="J89" s="28"/>
      <c r="K89" s="32"/>
      <c r="L89"/>
      <c r="M89"/>
      <c r="N89" s="2"/>
      <c r="O89" s="2"/>
      <c r="P89" s="2"/>
      <c r="Q89" s="2"/>
    </row>
    <row r="90" spans="1:17" hidden="1" x14ac:dyDescent="0.2">
      <c r="A90" s="24" t="s">
        <v>24</v>
      </c>
      <c r="B90" s="28">
        <f>voltage_in</f>
        <v>0</v>
      </c>
      <c r="C90" s="3"/>
      <c r="D90" s="3">
        <f ca="1">B90- (C88* (D103+G103+J103+M103))</f>
        <v>-0.86522908099346041</v>
      </c>
      <c r="E90" s="3"/>
      <c r="F90" s="3"/>
      <c r="G90" s="3">
        <f ca="1">D90-(F88*(G103+J103+M103+P103))</f>
        <v>-0.92291101972635781</v>
      </c>
      <c r="H90" s="3"/>
      <c r="I90" s="3"/>
      <c r="J90" s="3">
        <f ca="1">G90-(I88*(J103+M103+P103+S103))</f>
        <v>-0.95175198909280645</v>
      </c>
      <c r="K90" s="32"/>
      <c r="L90"/>
      <c r="M90"/>
      <c r="N90" s="2"/>
      <c r="O90" s="2"/>
      <c r="P90" s="2"/>
      <c r="Q90" s="2"/>
    </row>
    <row r="91" spans="1:17" hidden="1" x14ac:dyDescent="0.2">
      <c r="A91" s="24" t="s">
        <v>25</v>
      </c>
      <c r="B91" s="28">
        <v>0</v>
      </c>
      <c r="C91" s="33"/>
      <c r="D91" s="3">
        <f ca="1">B91+ C89 * (D103+G103+J103+M103)</f>
        <v>0.86522908099346041</v>
      </c>
      <c r="E91" s="3"/>
      <c r="F91" s="3"/>
      <c r="G91" s="3">
        <f ca="1">D91+F89*(G103+J103+M103+T103)</f>
        <v>0.92291101972635781</v>
      </c>
      <c r="H91" s="3"/>
      <c r="I91" s="3"/>
      <c r="J91" s="3">
        <f ca="1">G91+I89*(J103+M103+P103+W103)</f>
        <v>0.95175198909280645</v>
      </c>
      <c r="K91" s="32"/>
      <c r="L91"/>
      <c r="M91"/>
      <c r="N91" s="2"/>
      <c r="O91" s="2"/>
      <c r="P91" s="2"/>
      <c r="Q91" s="2"/>
    </row>
    <row r="92" spans="1:17" hidden="1" x14ac:dyDescent="0.2">
      <c r="A92" s="24" t="s">
        <v>20</v>
      </c>
      <c r="B92" s="28"/>
      <c r="C92" s="3"/>
      <c r="D92" s="3">
        <f ca="1">MAX(D90-D91,D93)</f>
        <v>5.8</v>
      </c>
      <c r="E92" s="3"/>
      <c r="F92" s="3"/>
      <c r="G92" s="3">
        <f ca="1">MAX(G90-G91,G93)</f>
        <v>5.8</v>
      </c>
      <c r="H92" s="3"/>
      <c r="I92" s="3"/>
      <c r="J92" s="3">
        <f ca="1">MAX(J90-J91,J93)</f>
        <v>5.8</v>
      </c>
      <c r="K92" s="32"/>
      <c r="L92"/>
      <c r="M92"/>
      <c r="N92" s="3"/>
      <c r="O92" s="3"/>
      <c r="P92" s="3"/>
      <c r="Q92" s="3"/>
    </row>
    <row r="93" spans="1:17" hidden="1" x14ac:dyDescent="0.2">
      <c r="A93" s="24" t="s">
        <v>54</v>
      </c>
      <c r="B93" s="28"/>
      <c r="C93" s="3"/>
      <c r="D93" s="3">
        <f>IF(E83=_dev_ARC,ARC_min_V,IF(E83=_dev_ARC_2e,ARC_2e_min_v,IF(E83=_dev_ARC_3, ARC_3_min_v, new_ARC_min_V)))</f>
        <v>5.8</v>
      </c>
      <c r="E93" s="3"/>
      <c r="F93" s="3"/>
      <c r="G93" s="3">
        <f>IF(H83=_dev_ARC,ARC_min_V,IF(H83=_dev_ARC_2e,ARC_2e_min_v,IF(H83=_dev_ARC_3, ARC_3_min_v, new_ARC_min_V)))</f>
        <v>5.8</v>
      </c>
      <c r="H93" s="3"/>
      <c r="I93" s="3"/>
      <c r="J93" s="3">
        <f>IF(K83=_dev_ARC,ARC_min_V,IF(K83=_dev_ARC_2e,ARC_2e_min_v,IF(K83=_dev_ARC_3, ARC_3_min_v, new_ARC_min_V)))</f>
        <v>5.8</v>
      </c>
      <c r="K93" s="32"/>
      <c r="L93"/>
      <c r="M93"/>
      <c r="N93" s="3"/>
      <c r="O93" s="3"/>
      <c r="P93" s="3"/>
      <c r="Q93" s="3"/>
    </row>
    <row r="94" spans="1:17" hidden="1" x14ac:dyDescent="0.2">
      <c r="A94" s="24" t="s">
        <v>21</v>
      </c>
      <c r="B94" s="28"/>
      <c r="C94" s="3"/>
      <c r="D94" s="3">
        <f ca="1">IF(OR(ISERROR(D92),D92&gt;16),120,-0.00529289431*D92^5 + 0.312305242*D92^4 - 7.38502812*D92^3 + 88.7945431*D92^2 - 561.872531*D92 + 1699.84701)</f>
        <v>305.80698569499168</v>
      </c>
      <c r="E94" s="3"/>
      <c r="F94" s="3"/>
      <c r="G94" s="3">
        <f ca="1">IF(OR(ISERROR(G92),G92&gt;16),120,-0.00529289431*G92^5 + 0.312305242*G92^4 - 7.38502812*G92^3 + 88.7945431*G92^2 - 561.872531*G92 + 1699.84701)</f>
        <v>305.80698569499168</v>
      </c>
      <c r="H94" s="3"/>
      <c r="I94" s="3"/>
      <c r="J94" s="3">
        <f ca="1">IF(OR(ISERROR(J92),J92&gt;16),120,-0.00529289431*J92^5 + 0.312305242*J92^4 - 7.38502812*J92^3 + 88.7945431*J92^2 - 561.872531*J92 + 1699.84701)</f>
        <v>305.80698569499168</v>
      </c>
      <c r="K94" s="32"/>
      <c r="L94"/>
      <c r="M94"/>
      <c r="N94" s="3"/>
      <c r="O94" s="3"/>
      <c r="P94" s="3"/>
      <c r="Q94" s="3"/>
    </row>
    <row r="95" spans="1:17" hidden="1" x14ac:dyDescent="0.2">
      <c r="A95" s="24" t="s">
        <v>50</v>
      </c>
      <c r="B95" s="28"/>
      <c r="C95" s="3"/>
      <c r="D95" s="3">
        <f ca="1">IF(ISERROR(D92),120, 1756.007* D92^(-1.01472))</f>
        <v>295.02620249754278</v>
      </c>
      <c r="E95" s="3"/>
      <c r="F95" s="3"/>
      <c r="G95" s="3">
        <f ca="1">IF(ISERROR(G92),120, 1756.007* G92^(-1.01472))</f>
        <v>295.02620249754278</v>
      </c>
      <c r="H95" s="3"/>
      <c r="I95" s="3"/>
      <c r="J95" s="3">
        <f ca="1">IF(ISERROR(J92),120, 1756.007* J92^(-1.01472))</f>
        <v>295.02620249754278</v>
      </c>
      <c r="K95" s="32"/>
      <c r="L95"/>
      <c r="M95"/>
      <c r="N95" s="3"/>
      <c r="O95" s="3"/>
      <c r="P95" s="3"/>
      <c r="Q95" s="3"/>
    </row>
    <row r="96" spans="1:17" hidden="1" x14ac:dyDescent="0.2">
      <c r="A96" s="24" t="s">
        <v>128</v>
      </c>
      <c r="B96" s="28"/>
      <c r="C96" s="3"/>
      <c r="D96" s="3">
        <f ca="1">IF(ISERROR(D92),120, -0.000014363659*D92^6 + 0.00167333112*D92^5 - 0.0772490725*D92^4 + 1.77799718*D92^3 - 20.7188537*D92^2 + 101.5283*D92^1 + 25.4712002)</f>
        <v>187.27902186005633</v>
      </c>
      <c r="E96" s="3"/>
      <c r="F96" s="3"/>
      <c r="G96" s="3">
        <f ca="1">IF(ISERROR(G92),120, -0.000014363659*G92^6 + 0.00167333112*G92^5 - 0.0772490725*G92^4 + 1.77799718*G92^3 - 20.7188537*G92^2 + 101.5283*G92^1 + 25.4712002)</f>
        <v>187.27902186005633</v>
      </c>
      <c r="H96" s="3"/>
      <c r="I96" s="3"/>
      <c r="J96" s="3">
        <f ca="1">IF(ISERROR(J92),120, -0.000014363659*J92^6 + 0.00167333112*J92^5 - 0.0772490725*J92^4 + 1.77799718*J92^3 - 20.7188537*J92^2 + 101.5283*J92^1 + 25.4712002)</f>
        <v>187.27902186005633</v>
      </c>
      <c r="K96" s="32"/>
      <c r="L96" s="3"/>
      <c r="M96" s="3"/>
    </row>
    <row r="97" spans="1:33" hidden="1" x14ac:dyDescent="0.2">
      <c r="A97" s="24" t="s">
        <v>174</v>
      </c>
      <c r="B97" s="28"/>
      <c r="C97" s="3"/>
      <c r="D97" s="3">
        <f ca="1">IF(ISERROR(D92),120, 0.0000018830771*D92^6 - 0.00027734971*D92^5 + 0.016867019*D92^4 - 0.54658987*D92^3 + 10.14098*D92^2 - 107.08683*D92^1 + 610.02959)</f>
        <v>240.76113847964558</v>
      </c>
      <c r="E97" s="3"/>
      <c r="F97" s="3"/>
      <c r="G97" s="3">
        <f ca="1">IF(ISERROR(G92),120, 0.0000018830771*G92^6 - 0.00027734971*G92^5 + 0.016867019*G92^4 - 0.54658987*G92^3 + 10.14098*G92^2 - 107.08683*G92^1 + 610.02959)</f>
        <v>240.76113847964558</v>
      </c>
      <c r="H97" s="3"/>
      <c r="I97" s="3"/>
      <c r="J97" s="3">
        <f ca="1">IF(ISERROR(J92),120, 0.0000018830771*J92^6 - 0.00027734971*J92^5 + 0.016867019*J92^4 - 0.54658987*J92^3 + 10.14098*J92^2 - 107.08683*J92^1 + 610.02959)</f>
        <v>240.76113847964558</v>
      </c>
      <c r="K97" s="32"/>
      <c r="L97" s="3"/>
      <c r="M97" s="3"/>
    </row>
    <row r="98" spans="1:33" hidden="1" x14ac:dyDescent="0.2">
      <c r="A98" s="24" t="s">
        <v>51</v>
      </c>
      <c r="B98" s="28"/>
      <c r="C98" s="3"/>
      <c r="D98" s="3">
        <f ca="1">IF(ISERROR(D92),120, 508.856146*D92^-0.961422)</f>
        <v>93.889830688417945</v>
      </c>
      <c r="E98" s="3"/>
      <c r="F98" s="3"/>
      <c r="G98" s="3">
        <f ca="1">IF(ISERROR(G92),120, 508.856146*G92^-0.961422)</f>
        <v>93.889830688417945</v>
      </c>
      <c r="H98" s="3"/>
      <c r="I98" s="3"/>
      <c r="J98" s="3">
        <f ca="1">IF(ISERROR(J92),120, 508.856146*J92^-0.961422)</f>
        <v>93.889830688417945</v>
      </c>
      <c r="K98" s="32"/>
      <c r="L98"/>
      <c r="M98"/>
      <c r="N98" s="3"/>
      <c r="O98" s="3"/>
      <c r="P98" s="3"/>
      <c r="Q98" s="3"/>
    </row>
    <row r="99" spans="1:33" hidden="1" x14ac:dyDescent="0.2">
      <c r="A99" s="24" t="s">
        <v>131</v>
      </c>
      <c r="B99" s="28"/>
      <c r="C99" s="3"/>
      <c r="D99" s="46" t="b">
        <f>IF(OR(E83=_dev_SWK,E83=_dev_SW4,E83=_dev_K1,E83=_dev_XLR,E83=_dev_Mic),1)</f>
        <v>0</v>
      </c>
      <c r="E99" s="3"/>
      <c r="F99" s="3"/>
      <c r="G99" s="46" t="b">
        <f>IF(OR(H83=_dev_SWK,H83=_dev_SW4,H83=_dev_K1,H83=_dev_XLR,H83=_dev_Mic),1)</f>
        <v>0</v>
      </c>
      <c r="H99" s="3"/>
      <c r="I99"/>
      <c r="J99" s="46" t="b">
        <f>IF(OR(K83=_dev_SWK,K83=_dev_SW4,K83=_dev_K1,K83=_dev_XLR,K83=_dev_Mic),1)</f>
        <v>0</v>
      </c>
      <c r="K99" s="32"/>
      <c r="L99"/>
      <c r="M99"/>
      <c r="N99" s="3"/>
      <c r="O99" s="3"/>
      <c r="P99" s="3"/>
      <c r="Q99" s="3"/>
    </row>
    <row r="100" spans="1:33" hidden="1" x14ac:dyDescent="0.2">
      <c r="A100" s="24" t="s">
        <v>170</v>
      </c>
      <c r="B100" s="28"/>
      <c r="C100" s="3"/>
      <c r="D100" s="46">
        <f>D99 * IF(E83=_dev_K1, 4,  3)</f>
        <v>0</v>
      </c>
      <c r="E100" s="3"/>
      <c r="F100" s="3"/>
      <c r="G100" s="46">
        <f>G99 * IF(H83=_dev_K1, 4,  3)</f>
        <v>0</v>
      </c>
      <c r="H100" s="3"/>
      <c r="I100" s="3"/>
      <c r="J100" s="46">
        <f>J99 * IF(K83=_dev_K1, 4,  3)</f>
        <v>0</v>
      </c>
      <c r="K100" s="32"/>
      <c r="L100" s="3"/>
      <c r="M100" s="3"/>
    </row>
    <row r="101" spans="1:33" hidden="1" x14ac:dyDescent="0.2">
      <c r="A101" s="24" t="s">
        <v>167</v>
      </c>
      <c r="B101" s="28"/>
      <c r="C101" s="3"/>
      <c r="D101" s="120">
        <f>D99 * IF(E83=_dev_SWK,1+MIN(E84,D100), MIN(E84, D100))</f>
        <v>0</v>
      </c>
      <c r="E101" s="3"/>
      <c r="F101" s="3"/>
      <c r="G101" s="120">
        <f>G99 * IF(H83=_dev_SWK,1+MIN(H84,G100), MIN(H84, G100))</f>
        <v>0</v>
      </c>
      <c r="H101" s="3"/>
      <c r="I101" s="3"/>
      <c r="J101" s="120">
        <f>J99 * IF(K83=_dev_SWK,1+MIN(K84,J100), MIN(K84, J100))</f>
        <v>0</v>
      </c>
      <c r="K101" s="32"/>
      <c r="L101" s="3"/>
      <c r="M101" s="3"/>
    </row>
    <row r="102" spans="1:33" hidden="1" x14ac:dyDescent="0.2">
      <c r="A102" s="24" t="s">
        <v>52</v>
      </c>
      <c r="B102" s="28"/>
      <c r="C102" s="3"/>
      <c r="D102" s="3">
        <f ca="1" xml:space="preserve"> (D101)*IF(ISERROR(D92),120, 509.392176*D92^-1.076124)</f>
        <v>0</v>
      </c>
      <c r="E102" s="3"/>
      <c r="F102" s="3"/>
      <c r="G102" s="3">
        <f ca="1" xml:space="preserve"> (G101)*IF(ISERROR(G92),120, 509.392176*G92^-1.076124)</f>
        <v>0</v>
      </c>
      <c r="H102" s="3"/>
      <c r="I102" s="3"/>
      <c r="J102" s="3">
        <f ca="1" xml:space="preserve"> (J101)*IF(ISERROR(J92),120, 509.392176*J92^-1.076124)</f>
        <v>0</v>
      </c>
      <c r="K102" s="32"/>
      <c r="L102"/>
      <c r="M102"/>
      <c r="N102" s="3"/>
      <c r="O102" s="3"/>
      <c r="P102" s="3"/>
      <c r="Q102" s="3"/>
    </row>
    <row r="103" spans="1:33" hidden="1" x14ac:dyDescent="0.2">
      <c r="A103" s="24" t="s">
        <v>57</v>
      </c>
      <c r="B103" s="28"/>
      <c r="C103" s="3"/>
      <c r="D103" s="34">
        <f ca="1">(IF(E83=_dev_None,0,IF(E83=_dev_ARC,D94,IF(E83=_dev_ARC_2,D95,IF(E83=_dev_ARC_2e, D96, IF(E83=_dev_ARC_3, D97, D98)))))+D102)/1000</f>
        <v>0.18727902186005632</v>
      </c>
      <c r="E103" s="3"/>
      <c r="F103" s="3"/>
      <c r="G103" s="34">
        <f ca="1">(IF(H83=_dev_None,0,IF(H83=_dev_ARC,G94,IF(H83=_dev_ARC_2,G95,IF(H83=_dev_ARC_2e, G96, IF(H83=_dev_ARC_3, G97, G98)))))+G102)/1000</f>
        <v>0.18727902186005632</v>
      </c>
      <c r="H103" s="3"/>
      <c r="I103" s="3"/>
      <c r="J103" s="34">
        <f ca="1">(IF(K83=_dev_None,0,IF(K83=_dev_ARC,J94,IF(K83=_dev_ARC_2,J95,IF(K83=_dev_ARC_2e, J96, IF(K83=_dev_ARC_3, J97, J98)))))+J102)/1000</f>
        <v>0.18727902186005632</v>
      </c>
      <c r="K103" s="32"/>
      <c r="L103"/>
      <c r="M103"/>
      <c r="N103" s="3"/>
      <c r="O103" s="3"/>
      <c r="P103" s="3"/>
      <c r="Q103" s="3"/>
    </row>
    <row r="104" spans="1:33" hidden="1" x14ac:dyDescent="0.2">
      <c r="A104" s="24" t="s">
        <v>82</v>
      </c>
      <c r="B104" s="28"/>
      <c r="C104" s="3"/>
      <c r="D104" s="34">
        <f ca="1">D92*D103</f>
        <v>1.0862183267883265</v>
      </c>
      <c r="E104" s="6"/>
      <c r="F104" s="3"/>
      <c r="G104" s="34">
        <f ca="1">G92*G103</f>
        <v>1.0862183267883265</v>
      </c>
      <c r="H104" s="3"/>
      <c r="I104" s="3"/>
      <c r="J104" s="34">
        <f ca="1">J92*J103</f>
        <v>1.0862183267883265</v>
      </c>
      <c r="K104" s="32"/>
      <c r="L104" s="3"/>
      <c r="M104" s="34"/>
    </row>
    <row r="105" spans="1:33" hidden="1" x14ac:dyDescent="0.2">
      <c r="A105" s="24" t="s">
        <v>56</v>
      </c>
      <c r="B105" s="28"/>
      <c r="C105" s="3"/>
      <c r="D105" s="35">
        <f>IF(E83=_dev_None,10,IF(max_current = 0,4,IF(D92&gt;IF(E83=_dev_ARC,16,30),2,IF(ISERROR(D92),-1,IF(D92=D93,1,IF($B110 &gt; max_current,3,0))))))</f>
        <v>4</v>
      </c>
      <c r="E105" s="3"/>
      <c r="F105" s="3"/>
      <c r="G105" s="35">
        <f>IF(H83=_dev_None,10,IF(max_current = 0,4,IF(G92&gt;IF(H83=_dev_ARC,16,30),2,IF(ISERROR(G92),-1,IF(G92=G93,1,IF($B110 &gt; max_current,3,0))))))</f>
        <v>4</v>
      </c>
      <c r="H105" s="3"/>
      <c r="I105" s="3"/>
      <c r="J105" s="35">
        <f>IF(K83=_dev_None,10,IF(max_current = 0,4,IF(J92&gt;IF(K83=_dev_ARC,16,30),2,IF(ISERROR(J92),-1,IF(J92=J93,1,IF($B110 &gt; max_current,3,0))))))</f>
        <v>4</v>
      </c>
      <c r="K105" s="32"/>
      <c r="L105"/>
      <c r="M105"/>
      <c r="N105" s="3"/>
      <c r="O105" s="3"/>
      <c r="P105" s="3"/>
      <c r="Q105" s="3"/>
    </row>
    <row r="106" spans="1:33" x14ac:dyDescent="0.2">
      <c r="A106" s="30" t="s">
        <v>67</v>
      </c>
      <c r="B106" s="45">
        <f>C85+F85+I85+L85</f>
        <v>120</v>
      </c>
      <c r="C106"/>
      <c r="D106" s="46"/>
      <c r="E106" s="3"/>
      <c r="F106" s="3"/>
      <c r="G106" s="3"/>
      <c r="H106" s="3"/>
      <c r="I106" s="3"/>
      <c r="J106" s="3"/>
      <c r="K106" s="32"/>
      <c r="L106" s="3"/>
      <c r="M106" s="3"/>
    </row>
    <row r="107" spans="1:33" x14ac:dyDescent="0.2">
      <c r="A107" s="30" t="s">
        <v>79</v>
      </c>
      <c r="B107" s="75" t="str">
        <f ca="1">IF(B110&lt;&gt;"N/A",voltage_in*B110/1000,"N/A")</f>
        <v>N/A</v>
      </c>
      <c r="C107"/>
      <c r="D107" s="46"/>
      <c r="E107" s="6"/>
      <c r="F107" s="3"/>
      <c r="G107" s="3"/>
      <c r="H107" s="3"/>
      <c r="I107" s="3"/>
      <c r="J107" s="3"/>
      <c r="K107" s="32"/>
      <c r="L107" s="3"/>
      <c r="M107" s="3"/>
    </row>
    <row r="108" spans="1:33" x14ac:dyDescent="0.2">
      <c r="A108" s="76" t="s">
        <v>80</v>
      </c>
      <c r="B108" s="3" t="str">
        <f ca="1">IF(B110&lt;&gt;"N/A",D104+G104+J104+M104,"N/A")</f>
        <v>N/A</v>
      </c>
      <c r="C108"/>
      <c r="D108" s="46"/>
      <c r="E108" s="6"/>
      <c r="F108" s="3"/>
      <c r="G108" s="3"/>
      <c r="H108" s="3"/>
      <c r="I108" s="3"/>
      <c r="J108" s="3"/>
      <c r="K108" s="32"/>
      <c r="L108" s="3"/>
      <c r="M108" s="3"/>
    </row>
    <row r="109" spans="1:33" x14ac:dyDescent="0.2">
      <c r="A109" s="76" t="s">
        <v>81</v>
      </c>
      <c r="B109" s="3" t="str">
        <f ca="1">IF(B110&lt;&gt;"N/A",B107-B108,"N/A")</f>
        <v>N/A</v>
      </c>
      <c r="C109"/>
      <c r="D109" s="46"/>
      <c r="E109" s="6"/>
      <c r="F109" s="3"/>
      <c r="G109" s="3"/>
      <c r="H109" s="3"/>
      <c r="I109" s="3"/>
      <c r="J109" s="3"/>
      <c r="K109" s="32"/>
      <c r="L109" s="3"/>
      <c r="M109" s="3"/>
    </row>
    <row r="110" spans="1:33" x14ac:dyDescent="0.2">
      <c r="A110" s="36" t="s">
        <v>30</v>
      </c>
      <c r="B110" s="37" t="str">
        <f ca="1">IF(OR(ISERROR(D92),D92=D93),"N/A",(D103+G103+J103+M103)*1000)</f>
        <v>N/A</v>
      </c>
      <c r="C110" s="100" t="str">
        <f>IF(IF(OR(D105&lt;&gt;0,G105&lt;&gt;0,J105&lt;&gt;0,M105&lt;&gt;0),0,1),"OK","ERROR")</f>
        <v>ERROR</v>
      </c>
      <c r="D110" s="38"/>
      <c r="E110" s="39"/>
      <c r="F110" s="39"/>
      <c r="G110" s="39"/>
      <c r="H110" s="39"/>
      <c r="I110" s="39"/>
      <c r="J110" s="39"/>
      <c r="K110" s="41"/>
      <c r="L110" s="3"/>
      <c r="M110" s="3"/>
    </row>
    <row r="111" spans="1:33" ht="187.5" customHeight="1" x14ac:dyDescent="0.2">
      <c r="A111" s="156"/>
      <c r="B111" s="157"/>
      <c r="C111" s="157"/>
      <c r="D111" s="157"/>
      <c r="E111" s="157"/>
      <c r="F111" s="157"/>
      <c r="G111" s="157"/>
      <c r="H111" s="157"/>
      <c r="I111" s="157"/>
      <c r="J111" s="157"/>
      <c r="K111" s="157"/>
      <c r="L111" s="157"/>
      <c r="M111" s="157"/>
      <c r="N111" s="157"/>
      <c r="O111" s="23"/>
      <c r="P111" s="23"/>
      <c r="Q111" s="23"/>
    </row>
    <row r="112" spans="1:33" ht="15.75" x14ac:dyDescent="0.2">
      <c r="A112" s="140" t="s">
        <v>204</v>
      </c>
      <c r="B112" s="141"/>
      <c r="C112" s="141"/>
      <c r="D112" s="141"/>
      <c r="E112" s="141"/>
      <c r="F112" s="141"/>
      <c r="G112" s="141"/>
      <c r="H112" s="141"/>
      <c r="I112" s="141"/>
      <c r="J112" s="141"/>
      <c r="K112" s="141"/>
      <c r="L112" s="141"/>
      <c r="M112" s="141"/>
      <c r="N112" s="141"/>
      <c r="O112" s="204"/>
      <c r="P112" s="204"/>
      <c r="Q112" s="204"/>
      <c r="R112" s="204"/>
      <c r="S112" s="204"/>
      <c r="T112" s="204"/>
      <c r="U112" s="204"/>
      <c r="V112" s="204"/>
      <c r="W112" s="204"/>
      <c r="X112" s="204"/>
      <c r="Y112" s="204"/>
      <c r="Z112" s="204"/>
      <c r="AA112" s="204"/>
      <c r="AB112" s="204"/>
      <c r="AC112" s="204"/>
      <c r="AD112" s="204"/>
      <c r="AE112" s="204"/>
      <c r="AF112" s="205"/>
      <c r="AG112"/>
    </row>
    <row r="113" spans="1:33" ht="15.75" x14ac:dyDescent="0.25">
      <c r="A113" s="24"/>
      <c r="B113" s="27"/>
      <c r="C113" s="27"/>
      <c r="D113" s="154" t="s">
        <v>45</v>
      </c>
      <c r="E113" s="155"/>
      <c r="F113" s="28"/>
      <c r="G113" s="154" t="s">
        <v>5</v>
      </c>
      <c r="H113" s="155"/>
      <c r="I113" s="28"/>
      <c r="J113" s="154" t="s">
        <v>6</v>
      </c>
      <c r="K113" s="155"/>
      <c r="L113" s="28"/>
      <c r="M113" s="154" t="s">
        <v>7</v>
      </c>
      <c r="N113" s="155"/>
      <c r="O113" s="28"/>
      <c r="P113" s="154" t="s">
        <v>112</v>
      </c>
      <c r="Q113" s="155"/>
      <c r="R113" s="28"/>
      <c r="S113" s="154" t="s">
        <v>113</v>
      </c>
      <c r="T113" s="155"/>
      <c r="U113" s="28"/>
      <c r="V113" s="154" t="s">
        <v>114</v>
      </c>
      <c r="W113" s="155"/>
      <c r="X113" s="28"/>
      <c r="Y113" s="154" t="s">
        <v>115</v>
      </c>
      <c r="Z113" s="155"/>
      <c r="AA113" s="28"/>
      <c r="AB113" s="154" t="s">
        <v>202</v>
      </c>
      <c r="AC113" s="155"/>
      <c r="AD113" s="28"/>
      <c r="AE113" s="154" t="s">
        <v>203</v>
      </c>
      <c r="AF113" s="155"/>
      <c r="AG113"/>
    </row>
    <row r="114" spans="1:33" ht="12.75" customHeight="1" x14ac:dyDescent="0.2">
      <c r="A114" s="24"/>
      <c r="B114" s="158" t="str">
        <f>IF(powering_device=_pwr_Select, "Powering Device Not Selected", powering_device)</f>
        <v>Powering Device Not Selected</v>
      </c>
      <c r="C114" s="29" t="s">
        <v>26</v>
      </c>
      <c r="D114" s="67" t="s">
        <v>48</v>
      </c>
      <c r="E114" s="117" t="s">
        <v>129</v>
      </c>
      <c r="F114" s="29" t="s">
        <v>26</v>
      </c>
      <c r="G114" s="67" t="s">
        <v>48</v>
      </c>
      <c r="H114" s="117" t="s">
        <v>129</v>
      </c>
      <c r="I114" s="29" t="s">
        <v>26</v>
      </c>
      <c r="J114" s="67" t="s">
        <v>48</v>
      </c>
      <c r="K114" s="117" t="s">
        <v>129</v>
      </c>
      <c r="L114" s="29" t="s">
        <v>26</v>
      </c>
      <c r="M114" s="67" t="s">
        <v>48</v>
      </c>
      <c r="N114" s="117" t="s">
        <v>129</v>
      </c>
      <c r="O114" s="29" t="s">
        <v>26</v>
      </c>
      <c r="P114" s="67" t="s">
        <v>48</v>
      </c>
      <c r="Q114" s="117" t="s">
        <v>116</v>
      </c>
      <c r="R114" s="29" t="s">
        <v>26</v>
      </c>
      <c r="S114" s="67" t="s">
        <v>48</v>
      </c>
      <c r="T114" s="117" t="s">
        <v>116</v>
      </c>
      <c r="U114" s="29" t="s">
        <v>26</v>
      </c>
      <c r="V114" s="67" t="s">
        <v>48</v>
      </c>
      <c r="W114" s="117" t="s">
        <v>116</v>
      </c>
      <c r="X114" s="29" t="s">
        <v>26</v>
      </c>
      <c r="Y114" s="67" t="s">
        <v>48</v>
      </c>
      <c r="Z114" s="117" t="s">
        <v>116</v>
      </c>
      <c r="AA114" s="132" t="s">
        <v>26</v>
      </c>
      <c r="AB114" s="67" t="s">
        <v>48</v>
      </c>
      <c r="AC114" s="117" t="s">
        <v>116</v>
      </c>
      <c r="AD114" s="132" t="s">
        <v>26</v>
      </c>
      <c r="AE114" s="67" t="s">
        <v>48</v>
      </c>
      <c r="AF114" s="117" t="s">
        <v>116</v>
      </c>
      <c r="AG114"/>
    </row>
    <row r="115" spans="1:33" x14ac:dyDescent="0.2">
      <c r="A115" s="30" t="s">
        <v>19</v>
      </c>
      <c r="B115" s="159"/>
      <c r="C115" s="97">
        <v>24</v>
      </c>
      <c r="D115" s="68" t="s">
        <v>49</v>
      </c>
      <c r="E115" s="52">
        <v>0</v>
      </c>
      <c r="F115" s="97">
        <v>24</v>
      </c>
      <c r="G115" s="68" t="s">
        <v>49</v>
      </c>
      <c r="H115" s="52">
        <v>0</v>
      </c>
      <c r="I115" s="97">
        <v>24</v>
      </c>
      <c r="J115" s="68" t="s">
        <v>49</v>
      </c>
      <c r="K115" s="52">
        <v>0</v>
      </c>
      <c r="L115" s="97">
        <v>24</v>
      </c>
      <c r="M115" s="68" t="s">
        <v>49</v>
      </c>
      <c r="N115" s="52">
        <v>0</v>
      </c>
      <c r="O115" s="97">
        <v>24</v>
      </c>
      <c r="P115" s="68" t="s">
        <v>49</v>
      </c>
      <c r="Q115" s="52">
        <v>0</v>
      </c>
      <c r="R115" s="97">
        <v>24</v>
      </c>
      <c r="S115" s="68" t="s">
        <v>49</v>
      </c>
      <c r="T115" s="52">
        <v>0</v>
      </c>
      <c r="U115" s="97">
        <v>24</v>
      </c>
      <c r="V115" s="68" t="s">
        <v>49</v>
      </c>
      <c r="W115" s="52">
        <v>0</v>
      </c>
      <c r="X115" s="97">
        <v>24</v>
      </c>
      <c r="Y115" s="68" t="s">
        <v>49</v>
      </c>
      <c r="Z115" s="52">
        <v>0</v>
      </c>
      <c r="AA115" s="97">
        <v>24</v>
      </c>
      <c r="AB115" s="68" t="s">
        <v>49</v>
      </c>
      <c r="AC115" s="52">
        <v>0</v>
      </c>
      <c r="AD115" s="97">
        <v>24</v>
      </c>
      <c r="AE115" s="68" t="s">
        <v>49</v>
      </c>
      <c r="AF115" s="52">
        <v>0</v>
      </c>
      <c r="AG115"/>
    </row>
    <row r="116" spans="1:33" ht="14.25" customHeight="1" x14ac:dyDescent="0.2">
      <c r="A116" s="30" t="s">
        <v>102</v>
      </c>
      <c r="B116" s="160"/>
      <c r="C116" s="53">
        <v>100</v>
      </c>
      <c r="D116" s="143" t="str">
        <f>VLOOKUP(D137,$AS$6:$AT$12,2,FALSE)</f>
        <v>Must Select Powering Device Above</v>
      </c>
      <c r="E116" s="149"/>
      <c r="F116" s="54">
        <v>10</v>
      </c>
      <c r="G116" s="143" t="str">
        <f>VLOOKUP(G137,$AS$6:$AT$12,2,FALSE)</f>
        <v>Must Select Powering Device Above</v>
      </c>
      <c r="H116" s="149"/>
      <c r="I116" s="54">
        <v>10</v>
      </c>
      <c r="J116" s="143" t="str">
        <f>VLOOKUP(J137,$AS$6:$AT$12,2,FALSE)</f>
        <v>Must Select Powering Device Above</v>
      </c>
      <c r="K116" s="149"/>
      <c r="L116" s="54">
        <v>10</v>
      </c>
      <c r="M116" s="143" t="str">
        <f>VLOOKUP(M137,$AS$6:$AT$12,2,FALSE)</f>
        <v>Must Select Powering Device Above</v>
      </c>
      <c r="N116" s="199"/>
      <c r="O116" s="93">
        <v>10</v>
      </c>
      <c r="P116" s="143" t="str">
        <f>VLOOKUP(P137,$AS$6:$AT$12,2,FALSE)</f>
        <v>empty</v>
      </c>
      <c r="Q116" s="149"/>
      <c r="R116" s="93">
        <v>10</v>
      </c>
      <c r="S116" s="143" t="str">
        <f>VLOOKUP(S137,$AS$6:$AT$12,2,FALSE)</f>
        <v>empty</v>
      </c>
      <c r="T116" s="149"/>
      <c r="U116" s="93">
        <v>10</v>
      </c>
      <c r="V116" s="143" t="str">
        <f>VLOOKUP(V137,$AS$6:$AT$12,2,FALSE)</f>
        <v>empty</v>
      </c>
      <c r="W116" s="149"/>
      <c r="X116" s="93">
        <v>10</v>
      </c>
      <c r="Y116" s="143" t="str">
        <f>VLOOKUP(Y137,$AS$6:$AT$12,2,FALSE)</f>
        <v>empty</v>
      </c>
      <c r="Z116" s="149"/>
      <c r="AA116" s="93">
        <v>10</v>
      </c>
      <c r="AB116" s="143" t="str">
        <f>VLOOKUP(AB137,$AS$6:$AT$12,2,FALSE)</f>
        <v>empty</v>
      </c>
      <c r="AC116" s="149"/>
      <c r="AD116" s="93">
        <v>10</v>
      </c>
      <c r="AE116" s="143" t="str">
        <f>VLOOKUP(AE137,$AS$6:$AT$12,2,FALSE)</f>
        <v>empty</v>
      </c>
      <c r="AF116" s="149"/>
      <c r="AG116"/>
    </row>
    <row r="117" spans="1:33" ht="14.25" customHeight="1" x14ac:dyDescent="0.2">
      <c r="A117" s="24"/>
      <c r="B117" s="161"/>
      <c r="C117" s="28"/>
      <c r="D117" s="150"/>
      <c r="E117" s="151"/>
      <c r="F117" s="28"/>
      <c r="G117" s="150"/>
      <c r="H117" s="151"/>
      <c r="I117" s="28"/>
      <c r="J117" s="150"/>
      <c r="K117" s="151"/>
      <c r="L117" s="28"/>
      <c r="M117" s="200"/>
      <c r="N117" s="201"/>
      <c r="O117" s="28"/>
      <c r="P117" s="150"/>
      <c r="Q117" s="151"/>
      <c r="R117" s="28"/>
      <c r="S117" s="150"/>
      <c r="T117" s="151"/>
      <c r="U117" s="28"/>
      <c r="V117" s="150"/>
      <c r="W117" s="151"/>
      <c r="X117" s="28"/>
      <c r="Y117" s="150"/>
      <c r="Z117" s="151"/>
      <c r="AA117" s="28"/>
      <c r="AB117" s="150"/>
      <c r="AC117" s="151"/>
      <c r="AD117" s="28"/>
      <c r="AE117" s="150"/>
      <c r="AF117" s="151"/>
      <c r="AG117"/>
    </row>
    <row r="118" spans="1:33" ht="14.25" customHeight="1" x14ac:dyDescent="0.2">
      <c r="A118" s="24"/>
      <c r="B118" s="25"/>
      <c r="C118" s="28"/>
      <c r="D118" s="152"/>
      <c r="E118" s="153"/>
      <c r="F118" s="28"/>
      <c r="G118" s="152"/>
      <c r="H118" s="153"/>
      <c r="I118" s="28"/>
      <c r="J118" s="152"/>
      <c r="K118" s="153"/>
      <c r="L118" s="28"/>
      <c r="M118" s="202"/>
      <c r="N118" s="203"/>
      <c r="O118" s="28"/>
      <c r="P118" s="152"/>
      <c r="Q118" s="153"/>
      <c r="R118" s="28"/>
      <c r="S118" s="152"/>
      <c r="T118" s="153"/>
      <c r="U118" s="28"/>
      <c r="V118" s="152"/>
      <c r="W118" s="153"/>
      <c r="X118" s="28"/>
      <c r="Y118" s="152"/>
      <c r="Z118" s="153"/>
      <c r="AA118" s="28"/>
      <c r="AB118" s="152"/>
      <c r="AC118" s="153"/>
      <c r="AD118" s="28"/>
      <c r="AE118" s="152"/>
      <c r="AF118" s="153"/>
      <c r="AG118"/>
    </row>
    <row r="119" spans="1:33" hidden="1" x14ac:dyDescent="0.2">
      <c r="A119" s="24" t="s">
        <v>22</v>
      </c>
      <c r="B119" s="28"/>
      <c r="C119" s="3">
        <f>((C116/1000)/2)*IF(C115 = 24,resist_24,IF(C115 = 26,resist_26,IF(C115 = 28,resist_28,0)))*cable_comp</f>
        <v>1.5400000000000003</v>
      </c>
      <c r="D119" s="31"/>
      <c r="E119" s="3"/>
      <c r="F119" s="3">
        <f>((F116/1000)/2)*IF(F115 = 24,resist_24,IF(F115 = 26,resist_26,IF(F115 = 28,resist_28,0)))*cable_comp</f>
        <v>0.15400000000000003</v>
      </c>
      <c r="G119" s="31"/>
      <c r="H119" s="3"/>
      <c r="I119" s="3">
        <f>((I116/1000)/2)*IF(I115 = 24,resist_24,IF(I115 = 26,resist_26,IF(I115 = 28,resist_28,0)))*cable_comp</f>
        <v>0.15400000000000003</v>
      </c>
      <c r="J119" s="31"/>
      <c r="K119" s="3"/>
      <c r="L119" s="3">
        <f>((L116/1000)/2)*IF(L115 = 24,resist_24,IF(L115 = 26,resist_26,IF(L115 = 28,resist_28,0)))*cable_comp</f>
        <v>0.15400000000000003</v>
      </c>
      <c r="M119" s="31"/>
      <c r="N119" s="3"/>
      <c r="O119" s="3">
        <f>((O116/1000)/2)*IF(O115 = 24,resist_24,IF(O115 = 26,resist_26,IF(O115 = 28,resist_28,0)))*cable_comp</f>
        <v>0.15400000000000003</v>
      </c>
      <c r="P119" s="31"/>
      <c r="Q119" s="94"/>
      <c r="R119" s="3">
        <f>((R116/1000)/2)*IF(R115 = 24,resist_24,IF(R115 = 26,resist_26,IF(R115 = 28,resist_28,0)))*cable_comp</f>
        <v>0.15400000000000003</v>
      </c>
      <c r="S119" s="31"/>
      <c r="T119" s="94"/>
      <c r="U119" s="3">
        <f>((U116/1000)/2)*IF(U115 = 24,resist_24,IF(U115 = 26,resist_26,IF(U115 = 28,resist_28,0)))*cable_comp</f>
        <v>0.15400000000000003</v>
      </c>
      <c r="V119" s="31"/>
      <c r="W119" s="94"/>
      <c r="X119" s="3">
        <f>((X116/1000)/2)*IF(X115 = 24,resist_24,IF(X115 = 26,resist_26,IF(X115 = 28,resist_28,0)))*cable_comp</f>
        <v>0.15400000000000003</v>
      </c>
      <c r="Y119" s="31"/>
      <c r="Z119" s="94"/>
      <c r="AA119" s="3">
        <f>((AA116/1000)/2)*IF(AA115 = 24,resist_24,IF(AA115 = 26,resist_26,IF(AA115 = 28,resist_28,0)))*cable_comp</f>
        <v>0.15400000000000003</v>
      </c>
      <c r="AB119" s="31"/>
      <c r="AC119" s="94"/>
      <c r="AD119" s="3">
        <f>((AD116/1000)/2)*IF(AD115 = 24,resist_24,IF(AD115 = 26,resist_26,IF(AD115 = 28,resist_28,0)))*cable_comp</f>
        <v>0.15400000000000003</v>
      </c>
      <c r="AE119" s="31"/>
      <c r="AF119" s="96"/>
      <c r="AG119"/>
    </row>
    <row r="120" spans="1:33" hidden="1" x14ac:dyDescent="0.2">
      <c r="A120" s="24" t="s">
        <v>23</v>
      </c>
      <c r="B120" s="28"/>
      <c r="C120" s="3">
        <f>IF(AND(ARC_audio="Grounded",powering_device&lt;&gt;"ARC-PSe"),C119/2,C119)</f>
        <v>1.5400000000000003</v>
      </c>
      <c r="D120" s="28"/>
      <c r="E120" s="3"/>
      <c r="F120" s="3">
        <f>IF(AND(ARC_audio="Grounded",powering_device&lt;&gt;"ARC-PSe"),F119/2,F119)</f>
        <v>0.15400000000000003</v>
      </c>
      <c r="G120" s="28"/>
      <c r="H120" s="3"/>
      <c r="I120" s="3">
        <f>IF(AND(ARC_audio="Grounded",powering_device&lt;&gt;"ARC-PSe"),I119/2,I119)</f>
        <v>0.15400000000000003</v>
      </c>
      <c r="J120" s="28"/>
      <c r="K120" s="3"/>
      <c r="L120" s="3">
        <f>IF(AND(ARC_audio="Grounded",powering_device&lt;&gt;"ARC-PSe"),L119/2,L119)</f>
        <v>0.15400000000000003</v>
      </c>
      <c r="M120" s="28"/>
      <c r="N120" s="3"/>
      <c r="O120" s="3">
        <f>IF(AND(ARC_audio="Grounded",powering_device&lt;&gt;"ARC-PSe"),O119/2,O119)</f>
        <v>0.15400000000000003</v>
      </c>
      <c r="P120" s="28"/>
      <c r="Q120" s="3"/>
      <c r="R120" s="3">
        <f>IF(AND(ARC_audio="Grounded",powering_device&lt;&gt;"ARC-PSe"),R119/2,R119)</f>
        <v>0.15400000000000003</v>
      </c>
      <c r="S120" s="28"/>
      <c r="T120" s="3"/>
      <c r="U120" s="3">
        <f>IF(AND(ARC_audio="Grounded",powering_device&lt;&gt;"ARC-PSe"),U119/2,U119)</f>
        <v>0.15400000000000003</v>
      </c>
      <c r="V120" s="28"/>
      <c r="W120" s="3"/>
      <c r="X120" s="3">
        <f>IF(AND(ARC_audio="Grounded",powering_device&lt;&gt;"ARC-PSe"),X119/2,X119)</f>
        <v>0.15400000000000003</v>
      </c>
      <c r="Y120" s="28"/>
      <c r="Z120" s="3"/>
      <c r="AA120" s="3">
        <f>IF(AND(ARC_audio="Grounded",powering_device&lt;&gt;"ARC-PSe"),AA119/2,AA119)</f>
        <v>0.15400000000000003</v>
      </c>
      <c r="AB120" s="28"/>
      <c r="AC120" s="3"/>
      <c r="AD120" s="3">
        <f>IF(AND(ARC_audio="Grounded",powering_device&lt;&gt;"ARC-PSe"),AD119/2,AD119)</f>
        <v>0.15400000000000003</v>
      </c>
      <c r="AE120" s="28"/>
      <c r="AF120" s="32"/>
      <c r="AG120"/>
    </row>
    <row r="121" spans="1:33" hidden="1" x14ac:dyDescent="0.2">
      <c r="A121" s="24" t="s">
        <v>24</v>
      </c>
      <c r="B121" s="28">
        <f>voltage_in</f>
        <v>0</v>
      </c>
      <c r="C121" s="3"/>
      <c r="D121" s="3">
        <f ca="1">B121- (C119* (D135+G135+J135+M135+P135+S135+V135+Y135))</f>
        <v>-1.1536387746579471</v>
      </c>
      <c r="E121" s="3"/>
      <c r="F121" s="3"/>
      <c r="G121" s="3">
        <f ca="1">D121-((F119)*(G135+J135+M135+P135+S135+V135+Y135+AB135))</f>
        <v>-1.240161682757293</v>
      </c>
      <c r="H121" s="3"/>
      <c r="I121" s="3"/>
      <c r="J121" s="3">
        <f ca="1">G121-((I119)*(J135+M135+P135+S135+V135+Y135+AB135+AE135))</f>
        <v>-1.2978436214901903</v>
      </c>
      <c r="K121" s="3"/>
      <c r="L121" s="3"/>
      <c r="M121" s="3">
        <f ca="1">J121-((L119)*(M135+P135+S135+V135+Y135+AB135+AE135+AH135))</f>
        <v>-1.3266845908566389</v>
      </c>
      <c r="N121" s="3"/>
      <c r="O121" s="3"/>
      <c r="P121" s="3">
        <f ca="1">M121-((O119)*(P135+S135+V135+Y135+AB135+AE135+AH135+AK135))</f>
        <v>-1.3266845908566389</v>
      </c>
      <c r="Q121" s="3"/>
      <c r="R121" s="3"/>
      <c r="S121" s="3">
        <f ca="1">P121-((R119)*(S135+V135+Y135+AB135+AE135+AH135+AK135+AN135))</f>
        <v>-1.3266845908566389</v>
      </c>
      <c r="T121" s="3"/>
      <c r="U121" s="3"/>
      <c r="V121" s="3">
        <f ca="1">S121-((U119)*(V135+Y135+AB135+AE135+AH135+AK135+AN135+AQ135))</f>
        <v>-1.3266845908566389</v>
      </c>
      <c r="W121" s="3"/>
      <c r="X121" s="3"/>
      <c r="Y121" s="3">
        <f ca="1">V121-((X119)*(Y135+AB135+AE135+AH135+AK135+AN135+AQ135+AT135))</f>
        <v>-1.3266845908566389</v>
      </c>
      <c r="Z121" s="3"/>
      <c r="AA121" s="3"/>
      <c r="AB121" s="3">
        <f ca="1">Y121-((AA119)*(AB135+AE135+AH135+AK135+AN135+AQ135+AT135+AW135))</f>
        <v>-1.3266845908566389</v>
      </c>
      <c r="AC121" s="3"/>
      <c r="AD121" s="3"/>
      <c r="AE121" s="3">
        <f ca="1">AB121-((AD119)*(AE135+AH135+AK135+AN135+AQ135+AT135+AW135+BA135))</f>
        <v>-1.3266845908566389</v>
      </c>
      <c r="AF121" s="32"/>
      <c r="AG121"/>
    </row>
    <row r="122" spans="1:33" hidden="1" x14ac:dyDescent="0.2">
      <c r="A122" s="24" t="s">
        <v>25</v>
      </c>
      <c r="B122" s="28">
        <v>0</v>
      </c>
      <c r="C122" s="33"/>
      <c r="D122" s="3">
        <f ca="1">B122+ C120 * (D135+G135+J135+M135+P135+S135+V135+Y135)</f>
        <v>1.1536387746579471</v>
      </c>
      <c r="E122" s="3"/>
      <c r="F122" s="3"/>
      <c r="G122" s="3">
        <f ca="1">D122+(F120)*(G135+J135+M135+P135+S135+V135+Y135+AB135)</f>
        <v>1.240161682757293</v>
      </c>
      <c r="H122" s="3"/>
      <c r="I122" s="3"/>
      <c r="J122" s="3">
        <f ca="1">G122+(I120)*(J135+M135+P135+S135+V135+Y135+AB135+AE135)</f>
        <v>1.2978436214901903</v>
      </c>
      <c r="K122" s="3"/>
      <c r="L122" s="3"/>
      <c r="M122" s="3">
        <f ca="1">J122+(L120)*(M135+P135+S135+V135+Y135+AB135+AE135+AH135)</f>
        <v>1.3266845908566389</v>
      </c>
      <c r="N122" s="3"/>
      <c r="O122" s="3"/>
      <c r="P122" s="3">
        <f ca="1">M122+(O120)*(P135+S135+V135+Y135+AB135+AE135+AH135+AK135)</f>
        <v>1.3266845908566389</v>
      </c>
      <c r="Q122" s="3"/>
      <c r="R122" s="3"/>
      <c r="S122" s="3">
        <f ca="1">P122+(R120)*(S135+V135+Y135+AB135+AE135+AH135+AK135+AN135)</f>
        <v>1.3266845908566389</v>
      </c>
      <c r="T122" s="3"/>
      <c r="U122" s="3"/>
      <c r="V122" s="3">
        <f ca="1">S122+(U120)*(V135+Y135+AB135+AE135+AH135+AK135+AN135+AQ135)</f>
        <v>1.3266845908566389</v>
      </c>
      <c r="W122" s="3"/>
      <c r="X122" s="3"/>
      <c r="Y122" s="3">
        <f ca="1">V122+(X120)*(Y135+AB135+AE135+AH135+AK135+AN135+AQ135+AT135)</f>
        <v>1.3266845908566389</v>
      </c>
      <c r="Z122" s="3"/>
      <c r="AA122" s="3"/>
      <c r="AB122" s="3">
        <f ca="1">Y122+(AA120)*(AB135+AE135+AH135+AK135+AN135+AQ135+AT135+AW135)</f>
        <v>1.3266845908566389</v>
      </c>
      <c r="AC122" s="3"/>
      <c r="AD122" s="3"/>
      <c r="AE122" s="3">
        <f ca="1">AB122+(AD120)*(AE135+AH135+AK135+AN135+AQ135+AT135+AW135+BA135)</f>
        <v>1.3266845908566389</v>
      </c>
      <c r="AF122" s="32"/>
      <c r="AG122"/>
    </row>
    <row r="123" spans="1:33" hidden="1" x14ac:dyDescent="0.2">
      <c r="A123" s="24" t="s">
        <v>20</v>
      </c>
      <c r="B123" s="28"/>
      <c r="C123" s="3"/>
      <c r="D123" s="31">
        <f ca="1">MAX(D121-D122,D124)</f>
        <v>5.8</v>
      </c>
      <c r="E123" s="3"/>
      <c r="F123" s="3"/>
      <c r="G123" s="31">
        <f ca="1">MAX(G121-G122,G124)</f>
        <v>5.8</v>
      </c>
      <c r="H123" s="3"/>
      <c r="I123" s="3"/>
      <c r="J123" s="31">
        <f ca="1">MAX(J121-J122,J124)</f>
        <v>5.8</v>
      </c>
      <c r="K123" s="3"/>
      <c r="L123" s="3"/>
      <c r="M123" s="31">
        <f ca="1">MAX(M121-M122,M124)</f>
        <v>5.8</v>
      </c>
      <c r="N123" s="3"/>
      <c r="O123" s="3"/>
      <c r="P123" s="31">
        <f ca="1">MAX(P121-P122,P124)</f>
        <v>7.2</v>
      </c>
      <c r="Q123" s="3"/>
      <c r="R123" s="3"/>
      <c r="S123" s="31">
        <f ca="1">MAX(S121-S122,S124)</f>
        <v>7.2</v>
      </c>
      <c r="T123" s="3"/>
      <c r="U123" s="3"/>
      <c r="V123" s="31">
        <f ca="1">MAX(V121-V122,V124)</f>
        <v>7.2</v>
      </c>
      <c r="W123" s="3"/>
      <c r="X123" s="3"/>
      <c r="Y123" s="31">
        <f ca="1">MAX(Y121-Y122,Y124)</f>
        <v>7.2</v>
      </c>
      <c r="Z123" s="3"/>
      <c r="AA123" s="3"/>
      <c r="AB123" s="31">
        <f ca="1">MAX(AB121-AB122,AB124)</f>
        <v>7.2</v>
      </c>
      <c r="AC123" s="3"/>
      <c r="AD123" s="3"/>
      <c r="AE123" s="31">
        <f ca="1">MAX(AE121-AE122,AE124)</f>
        <v>7.2</v>
      </c>
      <c r="AF123" s="32"/>
      <c r="AG123"/>
    </row>
    <row r="124" spans="1:33" hidden="1" x14ac:dyDescent="0.2">
      <c r="A124" s="24" t="s">
        <v>54</v>
      </c>
      <c r="B124" s="28"/>
      <c r="C124" s="3"/>
      <c r="D124" s="3">
        <f>IF(E114=_dev_ARC,ARC_min_V,IF(E114=_dev_ARC_2e,ARC_2e_min_v,IF(E114=_dev_ARC_3, ARC_3_min_v, new_ARC_min_V)))</f>
        <v>5.8</v>
      </c>
      <c r="E124" s="3"/>
      <c r="F124" s="3"/>
      <c r="G124" s="3">
        <f>IF(H114=_dev_ARC,ARC_min_V,IF(H114=_dev_ARC_2e,ARC_2e_min_v,IF(H114=_dev_ARC_3, ARC_3_min_v, new_ARC_min_V)))</f>
        <v>5.8</v>
      </c>
      <c r="H124" s="3"/>
      <c r="I124" s="3"/>
      <c r="J124" s="3">
        <f>IF(K114=_dev_ARC,ARC_min_V,IF(K114=_dev_ARC_2e,ARC_2e_min_v,IF(K114=_dev_ARC_3, ARC_3_min_v, new_ARC_min_V)))</f>
        <v>5.8</v>
      </c>
      <c r="K124" s="3"/>
      <c r="L124" s="3"/>
      <c r="M124" s="3">
        <f>IF(N114=_dev_ARC,ARC_min_V,IF(N114=_dev_ARC_2e,ARC_2e_min_v,IF(N114=_dev_ARC_3, ARC_3_min_v, new_ARC_min_V)))</f>
        <v>5.8</v>
      </c>
      <c r="N124" s="3"/>
      <c r="O124" s="3"/>
      <c r="P124" s="3">
        <f>IF(Q114=_dev_ARC,ARC_min_V,IF(Q114=_dev_ARC_2e,ARC_2e_min_v,IF(Q114=_dev_ARC_3, ARC_3_min_v, new_ARC_min_V)))</f>
        <v>7.2</v>
      </c>
      <c r="Q124" s="3"/>
      <c r="R124" s="3"/>
      <c r="S124" s="3">
        <f>IF(T114=_dev_ARC,ARC_min_V,IF(T114=_dev_ARC_2e,ARC_2e_min_v,IF(T114=_dev_ARC_3, ARC_3_min_v, new_ARC_min_V)))</f>
        <v>7.2</v>
      </c>
      <c r="T124" s="3"/>
      <c r="U124" s="3"/>
      <c r="V124" s="3">
        <f>IF(W114=_dev_ARC,ARC_min_V,IF(W114=_dev_ARC_2e,ARC_2e_min_v,IF(W114=_dev_ARC_3, ARC_3_min_v, new_ARC_min_V)))</f>
        <v>7.2</v>
      </c>
      <c r="W124" s="3"/>
      <c r="X124" s="3"/>
      <c r="Y124" s="3">
        <f>IF(Z114=_dev_ARC,ARC_min_V,IF(Z114=_dev_ARC_2e,ARC_2e_min_v,IF(Z114=_dev_ARC_3, ARC_3_min_v, new_ARC_min_V)))</f>
        <v>7.2</v>
      </c>
      <c r="Z124" s="3"/>
      <c r="AA124" s="3"/>
      <c r="AB124" s="3">
        <f>IF(AC114=_dev_ARC,ARC_min_V,IF(AC114=_dev_ARC_2e,ARC_2e_min_v,IF(AC114=_dev_ARC_3, ARC_3_min_v, new_ARC_min_V)))</f>
        <v>7.2</v>
      </c>
      <c r="AC124" s="3"/>
      <c r="AD124" s="3"/>
      <c r="AE124" s="3">
        <f>IF(AF114=_dev_ARC,ARC_min_V,IF(AF114=_dev_ARC_2e,ARC_2e_min_v,IF(AF114=_dev_ARC_3, ARC_3_min_v, new_ARC_min_V)))</f>
        <v>7.2</v>
      </c>
      <c r="AF124" s="32"/>
      <c r="AG124"/>
    </row>
    <row r="125" spans="1:33" hidden="1" x14ac:dyDescent="0.2">
      <c r="A125" s="24" t="s">
        <v>21</v>
      </c>
      <c r="B125" s="28"/>
      <c r="C125" s="3"/>
      <c r="D125" s="3">
        <f ca="1">IF(OR(ISERROR(D123),D123&gt;16),120,-0.00529289431*D123^5 + 0.312305242*D123^4 - 7.38502812*D123^3 + 88.7945431*D123^2 - 561.872531*D123 + 1699.84701)</f>
        <v>305.80698569499168</v>
      </c>
      <c r="E125" s="3"/>
      <c r="F125" s="3"/>
      <c r="G125" s="3">
        <f ca="1">IF(OR(ISERROR(G123),G123&gt;16),120,-0.00529289431*G123^5 + 0.312305242*G123^4 - 7.38502812*G123^3 + 88.7945431*G123^2 - 561.872531*G123 + 1699.84701)</f>
        <v>305.80698569499168</v>
      </c>
      <c r="H125" s="3"/>
      <c r="I125" s="3"/>
      <c r="J125" s="3">
        <f ca="1">IF(OR(ISERROR(J123),J123&gt;16),120,-0.00529289431*J123^5 + 0.312305242*J123^4 - 7.38502812*J123^3 + 88.7945431*J123^2 - 561.872531*J123 + 1699.84701)</f>
        <v>305.80698569499168</v>
      </c>
      <c r="K125" s="3"/>
      <c r="L125" s="3"/>
      <c r="M125" s="3">
        <f ca="1">IF(OR(ISERROR(M123),M123&gt;16),120,-0.00529289431*M123^5 + 0.312305242*M123^4 - 7.38502812*M123^3 + 88.7945431*M123^2 - 561.872531*M123 + 1699.84701)</f>
        <v>305.80698569499168</v>
      </c>
      <c r="N125" s="3"/>
      <c r="O125" s="3"/>
      <c r="P125" s="3">
        <f ca="1">IF(OR(ISERROR(P123),P123&gt;16),120,-0.00529289431*P123^5 + 0.312305242*P123^4 - 7.38502812*P123^3 + 88.7945431*P123^2 - 561.872531*P123 + 1699.84701)</f>
        <v>237.89839027824019</v>
      </c>
      <c r="Q125" s="3"/>
      <c r="R125" s="3"/>
      <c r="S125" s="3">
        <f ca="1">IF(OR(ISERROR(S123),S123&gt;16),120,-0.00529289431*S123^5 + 0.312305242*S123^4 - 7.38502812*S123^3 + 88.7945431*S123^2 - 561.872531*S123 + 1699.84701)</f>
        <v>237.89839027824019</v>
      </c>
      <c r="T125" s="3"/>
      <c r="U125" s="3"/>
      <c r="V125" s="3">
        <f ca="1">IF(OR(ISERROR(V123),V123&gt;16),120,-0.00529289431*V123^5 + 0.312305242*V123^4 - 7.38502812*V123^3 + 88.7945431*V123^2 - 561.872531*V123 + 1699.84701)</f>
        <v>237.89839027824019</v>
      </c>
      <c r="W125" s="3"/>
      <c r="X125" s="3"/>
      <c r="Y125" s="3">
        <f ca="1">IF(OR(ISERROR(Y123),Y123&gt;16),120,-0.00529289431*Y123^5 + 0.312305242*Y123^4 - 7.38502812*Y123^3 + 88.7945431*Y123^2 - 561.872531*Y123 + 1699.84701)</f>
        <v>237.89839027824019</v>
      </c>
      <c r="Z125" s="3"/>
      <c r="AA125" s="3"/>
      <c r="AB125" s="3">
        <f ca="1">IF(OR(ISERROR(AB123),AB123&gt;16),120,-0.00529289431*AB123^5 + 0.312305242*AB123^4 - 7.38502812*AB123^3 + 88.7945431*AB123^2 - 561.872531*AB123 + 1699.84701)</f>
        <v>237.89839027824019</v>
      </c>
      <c r="AC125" s="3"/>
      <c r="AD125" s="3"/>
      <c r="AE125" s="3">
        <f ca="1">IF(OR(ISERROR(AE123),AE123&gt;16),120,-0.00529289431*AE123^5 + 0.312305242*AE123^4 - 7.38502812*AE123^3 + 88.7945431*AE123^2 - 561.872531*AE123 + 1699.84701)</f>
        <v>237.89839027824019</v>
      </c>
      <c r="AF125" s="32"/>
      <c r="AG125"/>
    </row>
    <row r="126" spans="1:33" hidden="1" x14ac:dyDescent="0.2">
      <c r="A126" s="24" t="s">
        <v>50</v>
      </c>
      <c r="B126" s="28"/>
      <c r="C126" s="3"/>
      <c r="D126" s="3">
        <f ca="1">IF(ISERROR(D123),120, 1756.007* D123^(-1.01472))</f>
        <v>295.02620249754278</v>
      </c>
      <c r="E126" s="3"/>
      <c r="F126" s="3"/>
      <c r="G126" s="3">
        <f ca="1">IF(ISERROR(G123),120, 1756.007* G123^(-1.01472))</f>
        <v>295.02620249754278</v>
      </c>
      <c r="H126" s="3"/>
      <c r="I126" s="3"/>
      <c r="J126" s="3">
        <f ca="1">IF(ISERROR(J123),120, 1756.007* J123^(-1.01472))</f>
        <v>295.02620249754278</v>
      </c>
      <c r="K126" s="3"/>
      <c r="L126" s="3"/>
      <c r="M126" s="3">
        <f ca="1">IF(ISERROR(M123),120, 1756.007* M123^(-1.01472))</f>
        <v>295.02620249754278</v>
      </c>
      <c r="N126" s="3"/>
      <c r="O126" s="3"/>
      <c r="P126" s="3">
        <f ca="1">IF(ISERROR(P123),120, 1756.007* P123^(-1.01472))</f>
        <v>236.90477373231931</v>
      </c>
      <c r="Q126" s="3"/>
      <c r="R126" s="3"/>
      <c r="S126" s="3">
        <f ca="1">IF(ISERROR(S123),120, 1756.007* S123^(-1.01472))</f>
        <v>236.90477373231931</v>
      </c>
      <c r="T126" s="3"/>
      <c r="U126" s="3"/>
      <c r="V126" s="3">
        <f ca="1">IF(ISERROR(V123),120, 1756.007* V123^(-1.01472))</f>
        <v>236.90477373231931</v>
      </c>
      <c r="W126" s="3"/>
      <c r="X126" s="3"/>
      <c r="Y126" s="3">
        <f ca="1">IF(ISERROR(Y123),120, 1756.007* Y123^(-1.01472))</f>
        <v>236.90477373231931</v>
      </c>
      <c r="Z126" s="3"/>
      <c r="AA126" s="3"/>
      <c r="AB126" s="3">
        <f ca="1">IF(ISERROR(AB123),120, 1756.007* AB123^(-1.01472))</f>
        <v>236.90477373231931</v>
      </c>
      <c r="AC126" s="3"/>
      <c r="AD126" s="3"/>
      <c r="AE126" s="3">
        <f ca="1">IF(ISERROR(AE123),120, 1756.007* AE123^(-1.01472))</f>
        <v>236.90477373231931</v>
      </c>
      <c r="AF126" s="32"/>
      <c r="AG126"/>
    </row>
    <row r="127" spans="1:33" hidden="1" x14ac:dyDescent="0.2">
      <c r="A127" s="24" t="s">
        <v>128</v>
      </c>
      <c r="B127" s="28"/>
      <c r="C127" s="3"/>
      <c r="D127" s="3">
        <f ca="1">IF(ISERROR(D123),120, -0.000014363659*D123^6 + 0.00167333112*D123^5 - 0.0772490725*D123^4 + 1.77799718*D123^3 - 20.7188537*D123^2 + 101.5283*D123^1 + 25.4712002)</f>
        <v>187.27902186005633</v>
      </c>
      <c r="E127" s="3"/>
      <c r="F127" s="3"/>
      <c r="G127" s="3">
        <f ca="1">IF(ISERROR(G123),120, -0.000014363659*G123^6 + 0.00167333112*G123^5 - 0.0772490725*G123^4 + 1.77799718*G123^3 - 20.7188537*G123^2 + 101.5283*G123^1 + 25.4712002)</f>
        <v>187.27902186005633</v>
      </c>
      <c r="H127" s="3"/>
      <c r="I127" s="3"/>
      <c r="J127" s="3">
        <f ca="1">IF(ISERROR(J123),120, -0.000014363659*J123^6 + 0.00167333112*J123^5 - 0.0772490725*J123^4 + 1.77799718*J123^3 - 20.7188537*J123^2 + 101.5283*J123^1 + 25.4712002)</f>
        <v>187.27902186005633</v>
      </c>
      <c r="K127" s="3"/>
      <c r="L127" s="3"/>
      <c r="M127" s="3">
        <f ca="1">IF(ISERROR(M123),120, -0.000014363659*M123^6 + 0.00167333112*M123^5 - 0.0772490725*M123^4 + 1.77799718*M123^3 - 20.7188537*M123^2 + 101.5283*M123^1 + 25.4712002)</f>
        <v>187.27902186005633</v>
      </c>
      <c r="P127" s="3">
        <f ca="1">IF(ISERROR(P123),120, -0.000014363659*P123^6 + 0.00167333112*P123^5 - 0.0772490725*P123^4 + 1.77799718*P123^3 - 20.7188537*P123^2 + 101.5283*P123^1 + 25.4712002)</f>
        <v>168.82194987714945</v>
      </c>
      <c r="S127" s="3">
        <f ca="1">IF(ISERROR(S123),120, -0.000014363659*S123^6 + 0.00167333112*S123^5 - 0.0772490725*S123^4 + 1.77799718*S123^3 - 20.7188537*S123^2 + 101.5283*S123^1 + 25.4712002)</f>
        <v>168.82194987714945</v>
      </c>
      <c r="V127" s="3">
        <f ca="1">IF(ISERROR(V123),120, -0.000014363659*V123^6 + 0.00167333112*V123^5 - 0.0772490725*V123^4 + 1.77799718*V123^3 - 20.7188537*V123^2 + 101.5283*V123^1 + 25.4712002)</f>
        <v>168.82194987714945</v>
      </c>
      <c r="Y127" s="3">
        <f ca="1">IF(ISERROR(Y123),120, -0.000014363659*Y123^6 + 0.00167333112*Y123^5 - 0.0772490725*Y123^4 + 1.77799718*Y123^3 - 20.7188537*Y123^2 + 101.5283*Y123^1 + 25.4712002)</f>
        <v>168.82194987714945</v>
      </c>
      <c r="Z127" s="3"/>
      <c r="AB127" s="3">
        <f ca="1">IF(ISERROR(AB123),120, -0.000014363659*AB123^6 + 0.00167333112*AB123^5 - 0.0772490725*AB123^4 + 1.77799718*AB123^3 - 20.7188537*AB123^2 + 101.5283*AB123^1 + 25.4712002)</f>
        <v>168.82194987714945</v>
      </c>
      <c r="AE127" s="3">
        <f ca="1">IF(ISERROR(AE123),120, -0.000014363659*AE123^6 + 0.00167333112*AE123^5 - 0.0772490725*AE123^4 + 1.77799718*AE123^3 - 20.7188537*AE123^2 + 101.5283*AE123^1 + 25.4712002)</f>
        <v>168.82194987714945</v>
      </c>
      <c r="AF127" s="32"/>
    </row>
    <row r="128" spans="1:33" hidden="1" x14ac:dyDescent="0.2">
      <c r="A128" s="24" t="s">
        <v>174</v>
      </c>
      <c r="B128" s="28"/>
      <c r="C128" s="3"/>
      <c r="D128" s="3">
        <f ca="1">IF(ISERROR(D123),120, 0.0000018830771*D123^6 - 0.00027734971*D123^5 + 0.016867019*D123^4 - 0.54658987*D123^3 + 10.14098*D123^2 - 107.08683*D123^1 + 610.02959)</f>
        <v>240.76113847964558</v>
      </c>
      <c r="E128" s="3"/>
      <c r="F128" s="3"/>
      <c r="G128" s="3">
        <f ca="1">IF(ISERROR(G123),120, 0.0000018830771*G123^6 - 0.00027734971*G123^5 + 0.016867019*G123^4 - 0.54658987*G123^3 + 10.14098*G123^2 - 107.08683*G123^1 + 610.02959)</f>
        <v>240.76113847964558</v>
      </c>
      <c r="H128" s="3"/>
      <c r="I128" s="3"/>
      <c r="J128" s="3">
        <f ca="1">IF(ISERROR(J123),120, 0.0000018830771*J123^6 - 0.00027734971*J123^5 + 0.016867019*J123^4 - 0.54658987*J123^3 + 10.14098*J123^2 - 107.08683*J123^1 + 610.02959)</f>
        <v>240.76113847964558</v>
      </c>
      <c r="K128" s="3"/>
      <c r="L128" s="3"/>
      <c r="M128" s="3">
        <f ca="1">IF(ISERROR(M123),120, 0.0000018830771*M123^6 - 0.00027734971*M123^5 + 0.016867019*M123^4 - 0.54658987*M123^3 + 10.14098*M123^2 - 107.08683*M123^1 + 610.02959)</f>
        <v>240.76113847964558</v>
      </c>
      <c r="P128" s="3">
        <f ca="1">IF(ISERROR(P123),120, 0.0000018830771*P123^6 - 0.00027734971*P123^5 + 0.016867019*P123^4 - 0.54658987*P123^3 + 10.14098*P123^2 - 107.08683*P123^1 + 610.02959)</f>
        <v>200.92327607066619</v>
      </c>
      <c r="S128" s="3">
        <f ca="1">IF(ISERROR(S123),120, 0.0000018830771*S123^6 - 0.00027734971*S123^5 + 0.016867019*S123^4 - 0.54658987*S123^3 + 10.14098*S123^2 - 107.08683*S123^1 + 610.02959)</f>
        <v>200.92327607066619</v>
      </c>
      <c r="V128" s="3">
        <f ca="1">IF(ISERROR(V123),120, 0.0000018830771*V123^6 - 0.00027734971*V123^5 + 0.016867019*V123^4 - 0.54658987*V123^3 + 10.14098*V123^2 - 107.08683*V123^1 + 610.02959)</f>
        <v>200.92327607066619</v>
      </c>
      <c r="Y128" s="3">
        <f ca="1">IF(ISERROR(Y123),120, 0.0000018830771*Y123^6 - 0.00027734971*Y123^5 + 0.016867019*Y123^4 - 0.54658987*Y123^3 + 10.14098*Y123^2 - 107.08683*Y123^1 + 610.02959)</f>
        <v>200.92327607066619</v>
      </c>
      <c r="Z128" s="3"/>
      <c r="AB128" s="3">
        <f ca="1">IF(ISERROR(AB123),120, 0.0000018830771*AB123^6 - 0.00027734971*AB123^5 + 0.016867019*AB123^4 - 0.54658987*AB123^3 + 10.14098*AB123^2 - 107.08683*AB123^1 + 610.02959)</f>
        <v>200.92327607066619</v>
      </c>
      <c r="AE128" s="3">
        <f ca="1">IF(ISERROR(AE123),120, 0.0000018830771*AE123^6 - 0.00027734971*AE123^5 + 0.016867019*AE123^4 - 0.54658987*AE123^3 + 10.14098*AE123^2 - 107.08683*AE123^1 + 610.02959)</f>
        <v>200.92327607066619</v>
      </c>
      <c r="AF128" s="32"/>
    </row>
    <row r="129" spans="1:33" hidden="1" x14ac:dyDescent="0.2">
      <c r="A129" s="24" t="s">
        <v>51</v>
      </c>
      <c r="B129" s="28"/>
      <c r="C129" s="3"/>
      <c r="D129" s="3">
        <f ca="1">IF(ISERROR(D123),120, 508.856146*D123^-0.961422)</f>
        <v>93.889830688417945</v>
      </c>
      <c r="E129" s="3"/>
      <c r="F129" s="3"/>
      <c r="G129" s="3">
        <f ca="1">IF(ISERROR(G123),120, 508.856146*G123^-0.961422)</f>
        <v>93.889830688417945</v>
      </c>
      <c r="H129" s="3"/>
      <c r="I129" s="3"/>
      <c r="J129" s="3">
        <f ca="1">IF(ISERROR(J123),120, 508.856146*J123^-0.961422)</f>
        <v>93.889830688417945</v>
      </c>
      <c r="K129" s="3"/>
      <c r="L129" s="3"/>
      <c r="M129" s="3">
        <f ca="1">IF(ISERROR(M123),120, 508.856146*M123^-0.961422)</f>
        <v>93.889830688417945</v>
      </c>
      <c r="N129" s="3"/>
      <c r="O129" s="3"/>
      <c r="P129" s="3">
        <f ca="1">IF(ISERROR(P123),120, 508.856146*P123^-0.961422)</f>
        <v>76.267006568350652</v>
      </c>
      <c r="Q129" s="3"/>
      <c r="R129" s="3"/>
      <c r="S129" s="3">
        <f ca="1">IF(ISERROR(S123),120, 508.856146*S123^-0.961422)</f>
        <v>76.267006568350652</v>
      </c>
      <c r="T129" s="3"/>
      <c r="U129" s="3"/>
      <c r="V129" s="3">
        <f ca="1">IF(ISERROR(V123),120, 508.856146*V123^-0.961422)</f>
        <v>76.267006568350652</v>
      </c>
      <c r="W129" s="3"/>
      <c r="X129" s="3"/>
      <c r="Y129" s="3">
        <f ca="1">IF(ISERROR(Y123),120, 508.856146*Y123^-0.961422)</f>
        <v>76.267006568350652</v>
      </c>
      <c r="Z129" s="3"/>
      <c r="AA129" s="3"/>
      <c r="AB129" s="3">
        <f ca="1">IF(ISERROR(AB123),120, 508.856146*AB123^-0.961422)</f>
        <v>76.267006568350652</v>
      </c>
      <c r="AC129" s="3"/>
      <c r="AD129" s="3"/>
      <c r="AE129" s="3">
        <f ca="1">IF(ISERROR(AE123),120, 508.856146*AE123^-0.961422)</f>
        <v>76.267006568350652</v>
      </c>
      <c r="AF129" s="32"/>
      <c r="AG129"/>
    </row>
    <row r="130" spans="1:33" hidden="1" x14ac:dyDescent="0.2">
      <c r="A130" s="24" t="s">
        <v>131</v>
      </c>
      <c r="B130" s="28"/>
      <c r="C130" s="3"/>
      <c r="D130" s="46" t="b">
        <f>IF(OR(E114=_dev_SWK,E114=_dev_SW4,E114=_dev_K1,E114=_dev_XLR,E114=_dev_Mic),1)</f>
        <v>0</v>
      </c>
      <c r="E130" s="3"/>
      <c r="F130" s="3"/>
      <c r="G130" s="46" t="b">
        <f>IF(OR(H114=_dev_SWK,H114=_dev_SW4,H114=_dev_K1,H114=_dev_XLR,H114=_dev_Mic),1)</f>
        <v>0</v>
      </c>
      <c r="H130" s="3"/>
      <c r="I130"/>
      <c r="J130" s="46" t="b">
        <f>IF(OR(K114=_dev_SWK,K114=_dev_SW4,K114=_dev_K1,K114=_dev_XLR,K114=_dev_Mic),1)</f>
        <v>0</v>
      </c>
      <c r="K130"/>
      <c r="L130"/>
      <c r="M130" s="46" t="b">
        <f>IF(OR(N114=_dev_SWK,N114=_dev_SW4,N114=_dev_K1,N114=_dev_XLR,N114=_dev_Mic),1)</f>
        <v>0</v>
      </c>
      <c r="N130" s="3"/>
      <c r="O130" s="3"/>
      <c r="P130" s="46" t="b">
        <f>IF(OR(Q114=_dev_SWK,Q114=_dev_SW4,Q114=_dev_K1,Q114=_dev_XLR,Q114=_dev_Mic),1)</f>
        <v>0</v>
      </c>
      <c r="Q130" s="3"/>
      <c r="R130" s="3"/>
      <c r="S130" s="46" t="b">
        <f>IF(OR(T114=_dev_SWK,T114=_dev_SW4,T114=_dev_K1,T114=_dev_XLR,T114=_dev_Mic),1)</f>
        <v>0</v>
      </c>
      <c r="T130" s="3"/>
      <c r="U130"/>
      <c r="V130" s="46" t="b">
        <f>IF(OR(W114=_dev_SWK,W114=_dev_SW4,W114=_dev_K1,W114=_dev_XLR,W114=_dev_Mic),1)</f>
        <v>0</v>
      </c>
      <c r="W130"/>
      <c r="X130"/>
      <c r="Y130" s="46" t="b">
        <f>IF(OR(Z114=_dev_SWK,Z114=_dev_SW4,Z114=_dev_K1,Z114=_dev_XLR,Z114=_dev_Mic),1)</f>
        <v>0</v>
      </c>
      <c r="Z130" s="3"/>
      <c r="AA130" s="131"/>
      <c r="AB130" s="46" t="b">
        <f>IF(OR(AC114=_dev_SWK,AC114=_dev_SW4,AC114=_dev_K1,AC114=_dev_XLR,AC114=_dev_Mic),1)</f>
        <v>0</v>
      </c>
      <c r="AC130" s="131"/>
      <c r="AD130" s="131"/>
      <c r="AE130" s="46" t="b">
        <f>IF(OR(AF114=_dev_SWK,AF114=_dev_SW4,AF114=_dev_K1,AF114=_dev_XLR,AF114=_dev_Mic),1)</f>
        <v>0</v>
      </c>
      <c r="AF130" s="32"/>
    </row>
    <row r="131" spans="1:33" hidden="1" x14ac:dyDescent="0.2">
      <c r="A131" s="24" t="s">
        <v>210</v>
      </c>
      <c r="B131" s="28"/>
      <c r="C131" s="3"/>
      <c r="D131" s="46">
        <f>SUM($D$130)</f>
        <v>0</v>
      </c>
      <c r="E131" s="3"/>
      <c r="F131" s="3"/>
      <c r="G131" s="46">
        <f>SUM($D$130:$G$130)</f>
        <v>0</v>
      </c>
      <c r="H131" s="3"/>
      <c r="I131" s="135"/>
      <c r="J131" s="46">
        <f>SUM($D$130:$J$130)</f>
        <v>0</v>
      </c>
      <c r="K131" s="135"/>
      <c r="L131" s="135"/>
      <c r="M131" s="46">
        <f>SUM($D$130:$M$130)</f>
        <v>0</v>
      </c>
      <c r="N131" s="3"/>
      <c r="O131" s="3"/>
      <c r="P131" s="46">
        <f>SUM($D$130:$P$130)</f>
        <v>0</v>
      </c>
      <c r="Q131" s="3"/>
      <c r="R131" s="3"/>
      <c r="S131" s="46">
        <f>SUM($D$130:$S$130)</f>
        <v>0</v>
      </c>
      <c r="T131" s="3"/>
      <c r="U131" s="135"/>
      <c r="V131" s="46">
        <f>SUM($D$130:$V$130)</f>
        <v>0</v>
      </c>
      <c r="W131" s="135"/>
      <c r="X131" s="135"/>
      <c r="Y131" s="46">
        <f>SUM($D$130:$Y$130)</f>
        <v>0</v>
      </c>
      <c r="Z131" s="3"/>
      <c r="AA131" s="135"/>
      <c r="AB131" s="46">
        <f>SUM($D$130:$AB$130)</f>
        <v>0</v>
      </c>
      <c r="AC131" s="135"/>
      <c r="AD131" s="135"/>
      <c r="AE131" s="46">
        <f>SUM($D$130:$AE$130)</f>
        <v>0</v>
      </c>
      <c r="AF131" s="32"/>
    </row>
    <row r="132" spans="1:33" hidden="1" x14ac:dyDescent="0.2">
      <c r="A132" s="24" t="s">
        <v>170</v>
      </c>
      <c r="B132" s="28"/>
      <c r="C132" s="3"/>
      <c r="D132" s="46">
        <f>D130 * IF(E114=_dev_K1, 4,  3)</f>
        <v>0</v>
      </c>
      <c r="E132" s="3"/>
      <c r="F132" s="3"/>
      <c r="G132" s="46">
        <f>G130 * IF(H114=_dev_K1, 4,  3)</f>
        <v>0</v>
      </c>
      <c r="H132" s="3"/>
      <c r="I132" s="3"/>
      <c r="J132" s="46">
        <f>J130 * IF(K114=_dev_K1, 4,  3)</f>
        <v>0</v>
      </c>
      <c r="K132" s="3"/>
      <c r="L132" s="3"/>
      <c r="M132" s="46">
        <f>M130 * IF(N114=_dev_K1, 4,  3)</f>
        <v>0</v>
      </c>
      <c r="P132" s="46">
        <f>P130 * IF(Q114=_dev_K1, 4,  3)</f>
        <v>0</v>
      </c>
      <c r="S132" s="46">
        <f>S130 * IF(T114=_dev_K1, 4,  3)</f>
        <v>0</v>
      </c>
      <c r="V132" s="46">
        <f>V130 * IF(W114=_dev_K1, 4,  3)</f>
        <v>0</v>
      </c>
      <c r="Y132" s="46">
        <f>Y130 * IF(Z114=_dev_K1, 4,  3)</f>
        <v>0</v>
      </c>
      <c r="Z132" s="3"/>
      <c r="AB132" s="46">
        <f>AB130 * IF(AC114=_dev_K1, 4,  3)</f>
        <v>0</v>
      </c>
      <c r="AE132" s="46">
        <f>AE130 * IF(AF114=_dev_K1, 4,  3)</f>
        <v>0</v>
      </c>
      <c r="AF132" s="32"/>
    </row>
    <row r="133" spans="1:33" hidden="1" x14ac:dyDescent="0.2">
      <c r="A133" s="24" t="s">
        <v>167</v>
      </c>
      <c r="B133" s="28"/>
      <c r="C133" s="3"/>
      <c r="D133" s="120">
        <f>D130 * IF(E114=_dev_SWK,1+MIN(E115,D132), MIN(E115, D132))</f>
        <v>0</v>
      </c>
      <c r="E133" s="3"/>
      <c r="F133" s="3"/>
      <c r="G133" s="120">
        <f>G130 * IF(H114=_dev_SWK,1+MIN(H115,G132), MIN(H115, G132))</f>
        <v>0</v>
      </c>
      <c r="H133" s="3"/>
      <c r="I133" s="3"/>
      <c r="J133" s="120">
        <f>J130 * IF(K114=_dev_SWK,1+MIN(K115,J132), MIN(K115, J132))</f>
        <v>0</v>
      </c>
      <c r="K133" s="3"/>
      <c r="L133" s="3"/>
      <c r="M133" s="120">
        <f>M130 * IF(N114=_dev_SWK,1+MIN(N115,M132), MIN(N115, M132))</f>
        <v>0</v>
      </c>
      <c r="P133" s="120">
        <f>P130 * IF(Q114=_dev_SWK,1+MIN(Q115,P132), MIN(Q115, P132))</f>
        <v>0</v>
      </c>
      <c r="S133" s="120">
        <f>S130 * IF(T114=_dev_SWK,1+MIN(T115,S132), MIN(T115, S132))</f>
        <v>0</v>
      </c>
      <c r="V133" s="120">
        <f>V130 * IF(W114=_dev_SWK,1+MIN(W115,V132), MIN(W115, V132))</f>
        <v>0</v>
      </c>
      <c r="Y133" s="120">
        <f>Y130 * IF(Z114=_dev_SWK,1+MIN(Z115,Y132), MIN(Z115, Y132))</f>
        <v>0</v>
      </c>
      <c r="Z133" s="3"/>
      <c r="AB133" s="120">
        <f>AB130 * IF(AC114=_dev_SWK,1+MIN(AC115,AB132), MIN(AC115, AB132))</f>
        <v>0</v>
      </c>
      <c r="AE133" s="120">
        <f>AE130 * IF(AF114=_dev_SWK,1+MIN(AF115,AE132), MIN(AF115, AE132))</f>
        <v>0</v>
      </c>
      <c r="AF133" s="32"/>
    </row>
    <row r="134" spans="1:33" hidden="1" x14ac:dyDescent="0.2">
      <c r="A134" s="24" t="s">
        <v>52</v>
      </c>
      <c r="B134" s="28"/>
      <c r="C134" s="3"/>
      <c r="D134" s="3">
        <f ca="1" xml:space="preserve"> (D133)*IF(ISERROR(D123),120, 509.392176*D123^-1.076124)</f>
        <v>0</v>
      </c>
      <c r="E134" s="3"/>
      <c r="F134" s="3"/>
      <c r="G134" s="3">
        <f ca="1" xml:space="preserve"> (G133)*IF(ISERROR(G123),120, 509.392176*G123^-1.076124)</f>
        <v>0</v>
      </c>
      <c r="H134" s="3"/>
      <c r="I134" s="3"/>
      <c r="J134" s="3">
        <f ca="1" xml:space="preserve"> (J133)*IF(ISERROR(J123),120, 509.392176*J123^-1.076124)</f>
        <v>0</v>
      </c>
      <c r="K134" s="3"/>
      <c r="L134" s="3"/>
      <c r="M134" s="3">
        <f ca="1" xml:space="preserve"> (M133)*IF(ISERROR(M123),120, 509.392176*M123^-1.076124)</f>
        <v>0</v>
      </c>
      <c r="N134" s="3"/>
      <c r="O134" s="3"/>
      <c r="P134" s="3">
        <f ca="1" xml:space="preserve"> (P133)*IF(ISERROR(P123),120, 509.392176*P123^-1.076124)</f>
        <v>0</v>
      </c>
      <c r="Q134" s="3"/>
      <c r="R134" s="3"/>
      <c r="S134" s="3">
        <f ca="1" xml:space="preserve"> (S133)*IF(ISERROR(S123),120, 509.392176*S123^-1.076124)</f>
        <v>0</v>
      </c>
      <c r="T134" s="3"/>
      <c r="U134" s="3"/>
      <c r="V134" s="3">
        <f ca="1" xml:space="preserve"> (V133)*IF(ISERROR(V123),120, 509.392176*V123^-1.076124)</f>
        <v>0</v>
      </c>
      <c r="W134" s="3"/>
      <c r="X134" s="3"/>
      <c r="Y134" s="3">
        <f ca="1" xml:space="preserve"> (Y133)*IF(ISERROR(Y123),120, 509.392176*Y123^-1.076124)</f>
        <v>0</v>
      </c>
      <c r="Z134" s="3"/>
      <c r="AA134" s="3"/>
      <c r="AB134" s="3">
        <f ca="1" xml:space="preserve"> (AB133)*IF(ISERROR(AB123),120, 509.392176*AB123^-1.076124)</f>
        <v>0</v>
      </c>
      <c r="AC134" s="3"/>
      <c r="AD134" s="3"/>
      <c r="AE134" s="3">
        <f ca="1" xml:space="preserve"> (AE133)*IF(ISERROR(AE123),120, 509.392176*AE123^-1.076124)</f>
        <v>0</v>
      </c>
      <c r="AF134" s="32"/>
      <c r="AG134"/>
    </row>
    <row r="135" spans="1:33" hidden="1" x14ac:dyDescent="0.2">
      <c r="A135" s="24" t="s">
        <v>57</v>
      </c>
      <c r="B135" s="28"/>
      <c r="C135" s="3"/>
      <c r="D135" s="34">
        <f ca="1">(IF(E114=_dev_None,0,IF(E114=_dev_ARC,D125,IF(E114=_dev_ARC_2,D126,IF(E114=_dev_ARC_2e, D127, IF(E114=_dev_ARC_3, D128, D129)))))+D134)/1000</f>
        <v>0.18727902186005632</v>
      </c>
      <c r="E135" s="3"/>
      <c r="F135" s="3"/>
      <c r="G135" s="34">
        <f ca="1">(IF(H114=_dev_None,0,IF(H114=_dev_ARC,G125,IF(H114=_dev_ARC_2,G126,IF(H114=_dev_ARC_2e, G127, IF(H114=_dev_ARC_3, G128, G129)))))+G134)/1000</f>
        <v>0.18727902186005632</v>
      </c>
      <c r="H135" s="3"/>
      <c r="I135" s="3"/>
      <c r="J135" s="34">
        <f ca="1">(IF(K114=_dev_None,0,IF(K114=_dev_ARC,J125,IF(K114=_dev_ARC_2,J126,IF(K114=_dev_ARC_2e, J127, IF(K114=_dev_ARC_3, J128, J129)))))+J134)/1000</f>
        <v>0.18727902186005632</v>
      </c>
      <c r="K135" s="3"/>
      <c r="L135" s="3"/>
      <c r="M135" s="34">
        <f ca="1">(IF(N114=_dev_None,0,IF(N114=_dev_ARC,M125,IF(N114=_dev_ARC_2,M126,IF(N114=_dev_ARC_2e, M127, IF(N114=_dev_ARC_3, M128, M129)))))+M134)/1000</f>
        <v>0.18727902186005632</v>
      </c>
      <c r="N135" s="3"/>
      <c r="O135" s="3"/>
      <c r="P135" s="34">
        <f ca="1">(IF(Q114=_dev_None,0,IF(Q114=_dev_ARC,P125,IF(Q114=_dev_ARC_2,P126,IF(Q114=_dev_ARC_2e, P127, IF(Q114=_dev_ARC_3, P128, P129)))))+P134)/1000</f>
        <v>0</v>
      </c>
      <c r="Q135" s="3"/>
      <c r="R135" s="3"/>
      <c r="S135" s="34">
        <f ca="1">(IF(T114=_dev_None,0,IF(T114=_dev_ARC,S125,IF(T114=_dev_ARC_2,S126,IF(T114=_dev_ARC_2e, S127, IF(T114=_dev_ARC_3, S128, S129)))))+S134)/1000</f>
        <v>0</v>
      </c>
      <c r="T135" s="3"/>
      <c r="U135" s="3"/>
      <c r="V135" s="34">
        <f ca="1">(IF(W114=_dev_None,0,IF(W114=_dev_ARC,V125,IF(W114=_dev_ARC_2,V126,IF(W114=_dev_ARC_2e, V127, IF(W114=_dev_ARC_3, V128, V129)))))+V134)/1000</f>
        <v>0</v>
      </c>
      <c r="W135" s="3"/>
      <c r="X135" s="3"/>
      <c r="Y135" s="34">
        <f ca="1">(IF(Z114=_dev_None,0,IF(Z114=_dev_ARC,Y125,IF(Z114=_dev_ARC_2,Y126,IF(Z114=_dev_ARC_2e, Y127, IF(Z114=_dev_ARC_3, Y128, Y129)))))+Y134)/1000</f>
        <v>0</v>
      </c>
      <c r="Z135" s="3"/>
      <c r="AA135" s="3"/>
      <c r="AB135" s="34">
        <f ca="1">(IF(AC114=_dev_None,0,IF(AC114=_dev_ARC,AB125,IF(AC114=_dev_ARC_2,AB126,IF(AC114=_dev_ARC_2e, AB127, IF(AC114=_dev_ARC_3, AB128, AB129)))))+AB134)/1000</f>
        <v>0</v>
      </c>
      <c r="AC135" s="3"/>
      <c r="AD135" s="3"/>
      <c r="AE135" s="34">
        <f ca="1">(IF(AF114=_dev_None,0,IF(AF114=_dev_ARC,AE125,IF(AF114=_dev_ARC_2,AE126,IF(AF114=_dev_ARC_2e, AE127, IF(AF114=_dev_ARC_3, AE128, AE129)))))+AE134)/1000</f>
        <v>0</v>
      </c>
      <c r="AF135" s="32"/>
      <c r="AG135"/>
    </row>
    <row r="136" spans="1:33" hidden="1" x14ac:dyDescent="0.2">
      <c r="A136" s="24" t="s">
        <v>82</v>
      </c>
      <c r="B136" s="28"/>
      <c r="C136" s="3"/>
      <c r="D136" s="34">
        <f ca="1">D123*D135</f>
        <v>1.0862183267883265</v>
      </c>
      <c r="E136" s="6"/>
      <c r="F136" s="3"/>
      <c r="G136" s="34">
        <f ca="1">G123*G135</f>
        <v>1.0862183267883265</v>
      </c>
      <c r="H136" s="3"/>
      <c r="I136" s="3"/>
      <c r="J136" s="34">
        <f ca="1">J123*J135</f>
        <v>1.0862183267883265</v>
      </c>
      <c r="K136" s="3"/>
      <c r="L136" s="3"/>
      <c r="M136" s="34">
        <f ca="1">M123*M135</f>
        <v>1.0862183267883265</v>
      </c>
      <c r="N136" s="3"/>
      <c r="O136" s="3"/>
      <c r="P136" s="34">
        <f ca="1">P123*P135</f>
        <v>0</v>
      </c>
      <c r="Q136" s="3"/>
      <c r="R136" s="3"/>
      <c r="S136" s="34">
        <f ca="1">S123*S135</f>
        <v>0</v>
      </c>
      <c r="T136" s="3"/>
      <c r="U136" s="3"/>
      <c r="V136" s="34">
        <f ca="1">V123*V135</f>
        <v>0</v>
      </c>
      <c r="W136" s="3"/>
      <c r="X136" s="3"/>
      <c r="Y136" s="34">
        <f ca="1">Y123*Y135</f>
        <v>0</v>
      </c>
      <c r="Z136" s="3"/>
      <c r="AA136" s="3"/>
      <c r="AB136" s="34">
        <f ca="1">AB123*AB135</f>
        <v>0</v>
      </c>
      <c r="AC136" s="3"/>
      <c r="AD136" s="3"/>
      <c r="AE136" s="34">
        <f ca="1">AE123*AE135</f>
        <v>0</v>
      </c>
      <c r="AF136" s="32"/>
      <c r="AG136"/>
    </row>
    <row r="137" spans="1:33" hidden="1" x14ac:dyDescent="0.2">
      <c r="A137" s="24" t="s">
        <v>56</v>
      </c>
      <c r="B137" s="28"/>
      <c r="C137" s="3"/>
      <c r="D137" s="35">
        <f>IF(E114=_dev_None,10,IF(max_current = 0,4,IF(D123&gt;IF(E114=_dev_ARC,16,30),2,IF(ISERROR(D123),-1,IF(D123=D124,1,IF($B144&gt;max_current,3, IF(D131&gt;max_mod_arcs,5,0)))))))</f>
        <v>4</v>
      </c>
      <c r="E137" s="3"/>
      <c r="F137" s="3"/>
      <c r="G137" s="35">
        <f>IF(H114=_dev_None,10,IF(max_current = 0,4,IF(G123&gt;IF(H114=_dev_ARC,16,30),2,IF(ISERROR(G123),-1,IF(G123=G124,1,IF($B144&gt;max_current,3, IF(G131&gt;max_mod_arcs,5,0)))))))</f>
        <v>4</v>
      </c>
      <c r="H137" s="3"/>
      <c r="I137" s="3"/>
      <c r="J137" s="35">
        <f>IF(K114=_dev_None,10,IF(max_current = 0,4,IF(J123&gt;IF(K114=_dev_ARC,16,30),2,IF(ISERROR(J123),-1,IF(J123=J124,1,IF($B144&gt;max_current,3, IF(J131&gt;max_mod_arcs,5,0)))))))</f>
        <v>4</v>
      </c>
      <c r="K137" s="3"/>
      <c r="L137" s="3"/>
      <c r="M137" s="35">
        <f>IF(N114=_dev_None,10,IF(max_current = 0,4,IF(M123&gt;IF(N114=_dev_ARC,16,30),2,IF(ISERROR(M123),-1,IF(M123=M124,1,IF($B144&gt;max_current,3, IF(M131&gt;max_mod_arcs,5,0)))))))</f>
        <v>4</v>
      </c>
      <c r="N137" s="3"/>
      <c r="O137" s="3"/>
      <c r="P137" s="35">
        <f>IF(Q114=_dev_None,10,IF(max_current = 0,4,IF(P123&gt;IF(Q114=_dev_ARC,16,30),2,IF(ISERROR(P123),-1,IF(P123=P124,1,IF($B144&gt;max_current,3, IF(P131&gt;max_mod_arcs,5,0)))))))</f>
        <v>10</v>
      </c>
      <c r="Q137" s="3"/>
      <c r="R137" s="3"/>
      <c r="S137" s="35">
        <f>IF(T114=_dev_None,10,IF(max_current = 0,4,IF(S123&gt;IF(T114=_dev_ARC,16,30),2,IF(ISERROR(S123),-1,IF(S123=S124,1,IF($B144&gt;max_current,3, IF(S131&gt;max_mod_arcs,5,0)))))))</f>
        <v>10</v>
      </c>
      <c r="T137" s="3"/>
      <c r="U137" s="3"/>
      <c r="V137" s="35">
        <f>IF(W114=_dev_None,10,IF(max_current = 0,4,IF(V123&gt;IF(W114=_dev_ARC,16,30),2,IF(ISERROR(V123),-1,IF(V123=V124,1,IF($B144&gt;max_current,3, IF(V131&gt;max_mod_arcs,5,0)))))))</f>
        <v>10</v>
      </c>
      <c r="W137" s="3"/>
      <c r="X137" s="3"/>
      <c r="Y137" s="35">
        <f>IF(Z114=_dev_None,10,IF(max_current = 0,4,IF(Y123&gt;IF(Z114=_dev_ARC,16,30),2,IF(ISERROR(Y123),-1,IF(Y123=Y124,1,IF($B144&gt;max_current,3, IF(Y131&gt;max_mod_arcs,5,0)))))))</f>
        <v>10</v>
      </c>
      <c r="Z137" s="3"/>
      <c r="AA137" s="3"/>
      <c r="AB137" s="35">
        <f>IF(AC114=_dev_None,10,IF(max_current = 0,4,IF(AB123&gt;IF(AC114=_dev_ARC,16,30),2,IF(ISERROR(AB123),-1,IF(AB123=AB124,1,IF($B144&gt;max_current,3, IF(AB131&gt;max_mod_arcs,5,0)))))))</f>
        <v>10</v>
      </c>
      <c r="AC137" s="3"/>
      <c r="AD137" s="3"/>
      <c r="AE137" s="35">
        <f>IF(AF114=_dev_None,10,IF(max_current = 0,4,IF(AE123&gt;IF(AF114=_dev_ARC,16,30),2,IF(ISERROR(AE123),-1,IF(AE123=AE124,1,IF($B144&gt;max_current,3, IF(AE131&gt;max_mod_arcs,5,0)))))))</f>
        <v>10</v>
      </c>
      <c r="AF137" s="32"/>
      <c r="AG137"/>
    </row>
    <row r="138" spans="1:33" hidden="1" x14ac:dyDescent="0.2">
      <c r="A138" s="24" t="s">
        <v>119</v>
      </c>
      <c r="B138" s="28"/>
      <c r="C138" s="3"/>
      <c r="D138" s="35">
        <f>IF(OR(D137=0,D137=$AS$11),0,1)</f>
        <v>1</v>
      </c>
      <c r="E138" s="3"/>
      <c r="F138" s="3"/>
      <c r="G138" s="35">
        <f>IF(OR(G137=0,G137=$AS$11),0,1)</f>
        <v>1</v>
      </c>
      <c r="H138" s="3"/>
      <c r="I138" s="3"/>
      <c r="J138" s="35">
        <f>IF(OR(J137=0,J137=$AS$11),0,1)</f>
        <v>1</v>
      </c>
      <c r="K138" s="3"/>
      <c r="L138" s="3"/>
      <c r="M138" s="35">
        <f>IF(OR(M137=0,M137=$AS$11),0,1)</f>
        <v>1</v>
      </c>
      <c r="N138" s="3"/>
      <c r="O138" s="3"/>
      <c r="P138" s="35">
        <f>IF(OR(P137=0,P137=$AS$11),0,1)</f>
        <v>0</v>
      </c>
      <c r="Q138" s="3"/>
      <c r="R138" s="3"/>
      <c r="S138" s="35">
        <f>IF(OR(S137=0,S137=$AS$11),0,1)</f>
        <v>0</v>
      </c>
      <c r="T138" s="3"/>
      <c r="U138" s="3"/>
      <c r="V138" s="35">
        <f>IF(OR(V137=0,V137=$AS$11),0,1)</f>
        <v>0</v>
      </c>
      <c r="W138" s="3"/>
      <c r="X138" s="3"/>
      <c r="Y138" s="35">
        <f>IF(OR(Y137=0,Y137=$AS$11),0,1)</f>
        <v>0</v>
      </c>
      <c r="Z138" s="3"/>
      <c r="AA138" s="3"/>
      <c r="AB138" s="35">
        <f>IF(OR(AB137=0,AB137=$AS$11),0,1)</f>
        <v>0</v>
      </c>
      <c r="AC138" s="3"/>
      <c r="AD138" s="3"/>
      <c r="AE138" s="35">
        <f>IF(OR(AE137=0,AE137=$AS$11),0,1)</f>
        <v>0</v>
      </c>
      <c r="AF138" s="32"/>
      <c r="AG138"/>
    </row>
    <row r="139" spans="1:33" x14ac:dyDescent="0.2">
      <c r="A139" s="30" t="s">
        <v>121</v>
      </c>
      <c r="B139" s="45">
        <f>IF(D137&lt;&gt;10,1,0) + IF(G137&lt;&gt;10,1,0) + IF(J137&lt;&gt;10,1,0) + IF(M137&lt;&gt;10,1,0) + IF(P137&lt;&gt;10,1,0) + IF(S137&lt;&gt;10,1,0) + IF(V137&lt;&gt;10,1,0) + IF(Y137&lt;&gt;10,1,0) + IF(AB137&lt;&gt;10,1,0) + IF(AB137&lt;&gt;10,1,0)</f>
        <v>4</v>
      </c>
      <c r="C139"/>
      <c r="D139" s="46"/>
      <c r="E139" s="3"/>
      <c r="F139" s="3"/>
      <c r="G139" s="3"/>
      <c r="H139" s="3"/>
      <c r="I139" s="3"/>
      <c r="J139" s="3"/>
      <c r="K139" s="3"/>
      <c r="L139" s="3"/>
      <c r="M139" s="3"/>
      <c r="N139" s="28"/>
      <c r="O139" s="3"/>
      <c r="P139" s="3"/>
      <c r="Q139" s="28"/>
      <c r="R139" s="3"/>
      <c r="S139" s="3"/>
      <c r="T139" s="28"/>
      <c r="U139" s="3"/>
      <c r="V139" s="3"/>
      <c r="W139" s="28"/>
      <c r="X139" s="3"/>
      <c r="Y139" s="3"/>
      <c r="Z139" s="28"/>
      <c r="AA139" s="3"/>
      <c r="AB139" s="3"/>
      <c r="AC139" s="28"/>
      <c r="AD139" s="3"/>
      <c r="AE139" s="3"/>
      <c r="AF139" s="47"/>
      <c r="AG139"/>
    </row>
    <row r="140" spans="1:33" x14ac:dyDescent="0.2">
      <c r="A140" s="30" t="s">
        <v>67</v>
      </c>
      <c r="B140" s="45">
        <f>C116+F116+I116+L116+O116+R116+U116+X116+AA116+AD116</f>
        <v>190</v>
      </c>
      <c r="C140"/>
      <c r="D140" s="46"/>
      <c r="E140" s="3"/>
      <c r="F140" s="3"/>
      <c r="G140" s="3"/>
      <c r="H140" s="3"/>
      <c r="I140" s="3"/>
      <c r="J140" s="3"/>
      <c r="K140" s="3"/>
      <c r="L140" s="3"/>
      <c r="M140" s="3"/>
      <c r="N140" s="28"/>
      <c r="O140" s="3"/>
      <c r="P140" s="3"/>
      <c r="Q140" s="28"/>
      <c r="R140" s="3"/>
      <c r="S140" s="3"/>
      <c r="T140" s="28"/>
      <c r="U140" s="3"/>
      <c r="V140" s="3"/>
      <c r="W140" s="28"/>
      <c r="X140" s="3"/>
      <c r="Y140" s="3"/>
      <c r="Z140" s="28"/>
      <c r="AA140" s="3"/>
      <c r="AB140" s="3"/>
      <c r="AC140" s="28"/>
      <c r="AD140" s="3"/>
      <c r="AE140" s="3"/>
      <c r="AF140" s="47"/>
      <c r="AG140"/>
    </row>
    <row r="141" spans="1:33" x14ac:dyDescent="0.2">
      <c r="A141" s="30" t="s">
        <v>79</v>
      </c>
      <c r="B141" s="75" t="str">
        <f ca="1">IF(B144&lt;&gt;"N/A",voltage_in*B144/1000,"N/A")</f>
        <v>N/A</v>
      </c>
      <c r="C141"/>
      <c r="D141" s="46"/>
      <c r="E141" s="6"/>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2"/>
      <c r="AG141"/>
    </row>
    <row r="142" spans="1:33" x14ac:dyDescent="0.2">
      <c r="A142" s="76" t="s">
        <v>80</v>
      </c>
      <c r="B142" s="3" t="str">
        <f ca="1">IF(B144&lt;&gt;"N/A",D136+G136+J136+M136+P136+S136+V136+Y136+AB136+AE136,"N/A")</f>
        <v>N/A</v>
      </c>
      <c r="C142"/>
      <c r="D142" s="46"/>
      <c r="E142" s="98"/>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2"/>
      <c r="AG142"/>
    </row>
    <row r="143" spans="1:33" x14ac:dyDescent="0.2">
      <c r="A143" s="76" t="s">
        <v>81</v>
      </c>
      <c r="B143" s="3" t="str">
        <f ca="1">IF(B144&lt;&gt;"N/A",B141-B142,"N/A")</f>
        <v>N/A</v>
      </c>
      <c r="C143"/>
      <c r="D143" s="46"/>
      <c r="E143" s="6"/>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2"/>
      <c r="AG143"/>
    </row>
    <row r="144" spans="1:33" x14ac:dyDescent="0.2">
      <c r="A144" s="36" t="s">
        <v>30</v>
      </c>
      <c r="B144" s="37" t="str">
        <f ca="1">IF(OR(ISERROR(D123),D123=D124),"N/A",(D135+G135+J135+M135+P135+S135+V135+Y135+AB135+AE135)*1000)</f>
        <v>N/A</v>
      </c>
      <c r="C144" s="100" t="str">
        <f>IF(SUM(D138:AE138),"ERROR","OK")</f>
        <v>ERROR</v>
      </c>
      <c r="D144" s="99"/>
      <c r="E144" s="39"/>
      <c r="F144" s="39"/>
      <c r="G144" s="39"/>
      <c r="H144" s="39"/>
      <c r="I144" s="39"/>
      <c r="J144" s="39"/>
      <c r="K144" s="39"/>
      <c r="L144" s="39"/>
      <c r="M144" s="39"/>
      <c r="N144" s="79"/>
      <c r="O144" s="39"/>
      <c r="P144" s="39"/>
      <c r="Q144" s="79"/>
      <c r="R144" s="39"/>
      <c r="S144" s="39"/>
      <c r="T144" s="79"/>
      <c r="U144" s="39"/>
      <c r="V144" s="39"/>
      <c r="W144" s="79"/>
      <c r="X144" s="39"/>
      <c r="Y144" s="39"/>
      <c r="Z144" s="79"/>
      <c r="AA144" s="39"/>
      <c r="AB144" s="39"/>
      <c r="AC144" s="79"/>
      <c r="AD144" s="39"/>
      <c r="AE144" s="39"/>
      <c r="AF144" s="40"/>
      <c r="AG144"/>
    </row>
    <row r="145" spans="1:13" ht="100.5" customHeight="1" x14ac:dyDescent="0.2">
      <c r="A145" s="198"/>
      <c r="B145" s="180"/>
      <c r="C145" s="180"/>
      <c r="D145" s="180"/>
      <c r="E145" s="180"/>
      <c r="F145" s="3"/>
      <c r="G145" s="3"/>
      <c r="H145" s="3"/>
      <c r="I145" s="3"/>
      <c r="J145" s="3"/>
      <c r="K145" s="3"/>
      <c r="L145" s="3"/>
      <c r="M145" s="3"/>
    </row>
    <row r="146" spans="1:13" ht="24" customHeight="1" x14ac:dyDescent="0.2">
      <c r="A146" s="192" t="s">
        <v>9</v>
      </c>
      <c r="B146" s="193"/>
      <c r="C146" s="193"/>
      <c r="D146" s="193"/>
      <c r="E146" s="194"/>
      <c r="F146" s="3"/>
      <c r="G146" s="3"/>
      <c r="H146" s="3"/>
      <c r="I146" s="3"/>
      <c r="J146" s="3"/>
      <c r="K146" s="3"/>
      <c r="L146" s="3"/>
      <c r="M146" s="3"/>
    </row>
    <row r="147" spans="1:13" x14ac:dyDescent="0.2">
      <c r="A147" s="49" t="s">
        <v>168</v>
      </c>
      <c r="B147" s="188" t="s">
        <v>10</v>
      </c>
      <c r="C147" s="189"/>
      <c r="D147" s="189"/>
      <c r="E147" s="190"/>
      <c r="F147"/>
      <c r="G147" s="2"/>
      <c r="H147" s="2"/>
      <c r="I147" s="2"/>
      <c r="J147" s="2"/>
      <c r="K147" s="2"/>
      <c r="L147" s="2"/>
      <c r="M147" s="2"/>
    </row>
    <row r="148" spans="1:13" x14ac:dyDescent="0.2">
      <c r="A148" s="134" t="s">
        <v>11</v>
      </c>
      <c r="B148" s="191" t="s">
        <v>58</v>
      </c>
      <c r="C148" s="189"/>
      <c r="D148" s="189"/>
      <c r="E148" s="190"/>
      <c r="F148"/>
      <c r="G148" s="6"/>
      <c r="H148" s="6"/>
      <c r="I148" s="6"/>
    </row>
    <row r="149" spans="1:13" x14ac:dyDescent="0.2">
      <c r="A149" s="50" t="s">
        <v>195</v>
      </c>
      <c r="B149" s="195" t="s">
        <v>196</v>
      </c>
      <c r="C149" s="196"/>
      <c r="D149" s="196"/>
      <c r="E149" s="197"/>
      <c r="F149"/>
      <c r="G149" s="6"/>
      <c r="H149" s="6"/>
      <c r="I149" s="6"/>
    </row>
    <row r="150" spans="1:13" ht="93.75" customHeight="1" x14ac:dyDescent="0.2">
      <c r="A150" s="180"/>
      <c r="B150" s="180"/>
      <c r="C150" s="180"/>
      <c r="D150" s="180"/>
      <c r="E150" s="180"/>
      <c r="F150"/>
      <c r="G150" s="6"/>
      <c r="H150" s="6"/>
      <c r="I150" s="6"/>
    </row>
    <row r="151" spans="1:13" ht="20.25" customHeight="1" x14ac:dyDescent="0.2">
      <c r="A151" s="185" t="s">
        <v>70</v>
      </c>
      <c r="B151" s="186"/>
      <c r="C151" s="186"/>
      <c r="D151" s="186"/>
      <c r="E151" s="187"/>
      <c r="F151"/>
      <c r="G151" s="6"/>
      <c r="H151" s="6"/>
      <c r="I151" s="6"/>
    </row>
    <row r="152" spans="1:13" x14ac:dyDescent="0.2">
      <c r="A152" s="57" t="s">
        <v>72</v>
      </c>
      <c r="B152" s="58">
        <v>100</v>
      </c>
      <c r="C152" s="65" t="s">
        <v>75</v>
      </c>
      <c r="D152" s="59">
        <f>B152/0.3048</f>
        <v>328.08398950131232</v>
      </c>
      <c r="E152" s="60" t="s">
        <v>74</v>
      </c>
      <c r="F152"/>
      <c r="G152" s="2"/>
      <c r="H152" s="2"/>
      <c r="I152" s="2"/>
      <c r="J152" s="2"/>
      <c r="K152" s="2"/>
      <c r="L152" s="2"/>
      <c r="M152" s="2"/>
    </row>
    <row r="153" spans="1:13" x14ac:dyDescent="0.2">
      <c r="A153" s="62" t="s">
        <v>71</v>
      </c>
      <c r="B153" s="63">
        <v>300</v>
      </c>
      <c r="C153" s="66" t="s">
        <v>74</v>
      </c>
      <c r="D153" s="64">
        <f>B153*0.3048</f>
        <v>91.44</v>
      </c>
      <c r="E153" s="61" t="s">
        <v>75</v>
      </c>
      <c r="F153"/>
      <c r="G153" s="2"/>
      <c r="H153" s="2"/>
      <c r="I153" s="2"/>
      <c r="J153" s="2"/>
      <c r="K153" s="2"/>
      <c r="L153" s="2"/>
      <c r="M153" s="2"/>
    </row>
    <row r="154" spans="1:13" x14ac:dyDescent="0.2">
      <c r="A154"/>
      <c r="B154"/>
      <c r="C154"/>
      <c r="D154"/>
      <c r="E154"/>
      <c r="F154"/>
      <c r="G154" s="3"/>
      <c r="H154" s="3"/>
      <c r="I154" s="3"/>
      <c r="J154" s="3"/>
      <c r="K154" s="3"/>
      <c r="L154" s="3"/>
      <c r="M154" s="3"/>
    </row>
    <row r="155" spans="1:13" x14ac:dyDescent="0.2">
      <c r="A155"/>
      <c r="B155"/>
      <c r="C155"/>
      <c r="D155"/>
      <c r="E155"/>
      <c r="F155"/>
      <c r="G155" s="3"/>
      <c r="H155" s="3"/>
      <c r="I155" s="3"/>
      <c r="J155" s="3"/>
      <c r="K155" s="3"/>
      <c r="L155" s="3"/>
      <c r="M155" s="3"/>
    </row>
    <row r="156" spans="1:13" ht="15" customHeight="1" x14ac:dyDescent="0.2">
      <c r="A156" s="1"/>
      <c r="B156" s="1"/>
      <c r="C156" s="2"/>
      <c r="D156" s="4"/>
      <c r="E156" s="3"/>
      <c r="F156" s="4"/>
      <c r="G156" s="3"/>
      <c r="H156" s="3"/>
      <c r="I156" s="3"/>
      <c r="J156" s="3"/>
      <c r="K156" s="3"/>
      <c r="L156" s="3"/>
      <c r="M156" s="3"/>
    </row>
    <row r="157" spans="1:13" x14ac:dyDescent="0.2">
      <c r="A157"/>
      <c r="B157"/>
      <c r="C157"/>
      <c r="D157"/>
      <c r="E157"/>
      <c r="F157"/>
      <c r="G157"/>
      <c r="H157"/>
      <c r="I157"/>
      <c r="J157"/>
      <c r="K157"/>
      <c r="L157"/>
      <c r="M157"/>
    </row>
    <row r="158" spans="1:13" x14ac:dyDescent="0.2">
      <c r="A158"/>
      <c r="B158"/>
      <c r="C158"/>
      <c r="D158"/>
      <c r="E158"/>
      <c r="F158"/>
      <c r="G158"/>
      <c r="H158"/>
      <c r="I158"/>
      <c r="J158"/>
      <c r="K158"/>
      <c r="L158"/>
      <c r="M158"/>
    </row>
    <row r="159" spans="1:13" x14ac:dyDescent="0.2">
      <c r="A159"/>
      <c r="B159"/>
      <c r="C159"/>
      <c r="D159"/>
      <c r="E159"/>
      <c r="F159"/>
      <c r="G159"/>
      <c r="H159"/>
      <c r="I159"/>
      <c r="J159"/>
      <c r="K159"/>
      <c r="L159"/>
      <c r="M159"/>
    </row>
    <row r="160" spans="1:13" x14ac:dyDescent="0.2">
      <c r="A160"/>
      <c r="B160"/>
      <c r="C160"/>
      <c r="D160"/>
      <c r="E160"/>
      <c r="F160"/>
      <c r="G160"/>
      <c r="H160"/>
      <c r="I160"/>
      <c r="J160"/>
      <c r="K160"/>
      <c r="L160"/>
      <c r="M160"/>
    </row>
    <row r="161" spans="1:13" x14ac:dyDescent="0.2">
      <c r="A161"/>
      <c r="B161"/>
      <c r="C161"/>
      <c r="D161"/>
      <c r="E161"/>
      <c r="F161"/>
      <c r="G161"/>
      <c r="H161"/>
      <c r="I161"/>
      <c r="J161"/>
      <c r="K161"/>
      <c r="L161"/>
      <c r="M161"/>
    </row>
    <row r="162" spans="1:13" x14ac:dyDescent="0.2">
      <c r="A162"/>
      <c r="B162"/>
      <c r="C162"/>
      <c r="D162"/>
      <c r="E162"/>
      <c r="F162"/>
      <c r="G162"/>
      <c r="H162"/>
      <c r="I162"/>
      <c r="J162"/>
      <c r="K162"/>
      <c r="L162"/>
      <c r="M162"/>
    </row>
    <row r="163" spans="1:13" x14ac:dyDescent="0.2">
      <c r="A163"/>
      <c r="B163"/>
      <c r="C163"/>
      <c r="D163"/>
      <c r="E163"/>
      <c r="F163"/>
      <c r="G163"/>
      <c r="H163"/>
      <c r="I163"/>
      <c r="J163"/>
      <c r="K163"/>
      <c r="L163"/>
      <c r="M163"/>
    </row>
    <row r="164" spans="1:13" x14ac:dyDescent="0.2">
      <c r="A164"/>
      <c r="B164"/>
      <c r="C164"/>
      <c r="D164"/>
      <c r="E164"/>
      <c r="F164"/>
      <c r="G164"/>
      <c r="H164"/>
      <c r="I164"/>
      <c r="J164"/>
      <c r="K164"/>
      <c r="L164"/>
      <c r="M164"/>
    </row>
    <row r="165" spans="1:13" x14ac:dyDescent="0.2">
      <c r="A165"/>
      <c r="B165"/>
      <c r="C165"/>
      <c r="D165"/>
      <c r="E165"/>
      <c r="F165"/>
      <c r="G165"/>
      <c r="H165"/>
      <c r="I165"/>
      <c r="J165"/>
      <c r="K165"/>
      <c r="L165"/>
      <c r="M165"/>
    </row>
    <row r="166" spans="1:13" x14ac:dyDescent="0.2">
      <c r="A166"/>
      <c r="B166"/>
      <c r="C166"/>
      <c r="D166"/>
      <c r="E166"/>
      <c r="F166"/>
      <c r="G166"/>
      <c r="H166"/>
      <c r="I166"/>
      <c r="J166"/>
      <c r="K166"/>
      <c r="L166"/>
      <c r="M166"/>
    </row>
    <row r="167" spans="1:13" x14ac:dyDescent="0.2">
      <c r="A167"/>
      <c r="B167"/>
      <c r="C167"/>
      <c r="D167"/>
      <c r="E167"/>
      <c r="F167"/>
      <c r="G167"/>
      <c r="H167"/>
      <c r="I167"/>
      <c r="J167"/>
      <c r="K167"/>
      <c r="L167"/>
      <c r="M167"/>
    </row>
    <row r="168" spans="1:13" x14ac:dyDescent="0.2">
      <c r="A168"/>
      <c r="B168"/>
      <c r="C168"/>
      <c r="D168"/>
      <c r="E168"/>
      <c r="F168"/>
      <c r="G168"/>
      <c r="H168"/>
      <c r="I168"/>
      <c r="J168"/>
      <c r="K168"/>
      <c r="L168"/>
      <c r="M168"/>
    </row>
    <row r="169" spans="1:13" ht="12.75" customHeight="1" x14ac:dyDescent="0.2">
      <c r="A169"/>
      <c r="B169"/>
      <c r="C169"/>
      <c r="D169"/>
      <c r="E169"/>
      <c r="F169"/>
      <c r="G169"/>
      <c r="H169"/>
      <c r="I169"/>
      <c r="J169"/>
      <c r="K169"/>
      <c r="L169"/>
      <c r="M169"/>
    </row>
    <row r="170" spans="1:13" x14ac:dyDescent="0.2">
      <c r="A170"/>
      <c r="B170"/>
      <c r="C170"/>
      <c r="D170"/>
      <c r="E170"/>
      <c r="F170"/>
      <c r="G170"/>
      <c r="H170"/>
      <c r="I170"/>
      <c r="J170"/>
      <c r="K170"/>
      <c r="L170"/>
      <c r="M170"/>
    </row>
    <row r="171" spans="1:13" x14ac:dyDescent="0.2">
      <c r="A171"/>
      <c r="B171"/>
      <c r="C171"/>
      <c r="D171"/>
      <c r="E171"/>
      <c r="F171"/>
      <c r="G171"/>
      <c r="H171"/>
      <c r="I171"/>
      <c r="J171"/>
      <c r="K171"/>
      <c r="L171"/>
      <c r="M171"/>
    </row>
    <row r="172" spans="1:13" x14ac:dyDescent="0.2">
      <c r="A172"/>
      <c r="B172"/>
      <c r="C172"/>
      <c r="D172"/>
      <c r="E172"/>
      <c r="F172"/>
      <c r="G172"/>
      <c r="H172"/>
      <c r="I172"/>
      <c r="J172"/>
      <c r="K172"/>
      <c r="L172"/>
      <c r="M172"/>
    </row>
    <row r="173" spans="1:13" x14ac:dyDescent="0.2">
      <c r="A173"/>
      <c r="B173"/>
      <c r="C173"/>
      <c r="D173"/>
      <c r="E173"/>
      <c r="F173"/>
      <c r="G173"/>
      <c r="H173"/>
      <c r="I173"/>
      <c r="J173"/>
      <c r="K173"/>
      <c r="L173"/>
      <c r="M173"/>
    </row>
    <row r="174" spans="1:13" x14ac:dyDescent="0.2">
      <c r="A174"/>
      <c r="B174"/>
      <c r="C174"/>
      <c r="D174"/>
      <c r="E174"/>
      <c r="F174"/>
      <c r="G174"/>
      <c r="H174"/>
      <c r="I174"/>
      <c r="J174"/>
      <c r="K174"/>
      <c r="L174"/>
      <c r="M174"/>
    </row>
    <row r="175" spans="1:13" x14ac:dyDescent="0.2">
      <c r="A175"/>
      <c r="B175"/>
      <c r="C175"/>
      <c r="D175"/>
      <c r="E175"/>
      <c r="F175"/>
      <c r="G175"/>
      <c r="H175"/>
      <c r="I175"/>
      <c r="J175"/>
      <c r="K175"/>
      <c r="L175"/>
      <c r="M175"/>
    </row>
    <row r="176" spans="1:13" x14ac:dyDescent="0.2">
      <c r="A176"/>
      <c r="B176"/>
      <c r="C176"/>
      <c r="D176"/>
      <c r="E176"/>
      <c r="F176"/>
      <c r="G176"/>
      <c r="H176"/>
      <c r="I176"/>
      <c r="J176"/>
      <c r="K176"/>
      <c r="L176"/>
      <c r="M176"/>
    </row>
    <row r="177" spans="1:13" x14ac:dyDescent="0.2">
      <c r="A177"/>
      <c r="B177"/>
      <c r="C177"/>
      <c r="D177"/>
      <c r="E177"/>
      <c r="F177"/>
      <c r="G177"/>
      <c r="H177"/>
      <c r="I177"/>
      <c r="J177"/>
      <c r="K177"/>
      <c r="L177"/>
      <c r="M177"/>
    </row>
    <row r="178" spans="1:13" x14ac:dyDescent="0.2">
      <c r="A178"/>
      <c r="B178"/>
      <c r="C178"/>
      <c r="D178"/>
      <c r="E178"/>
      <c r="F178"/>
      <c r="G178"/>
      <c r="H178"/>
      <c r="I178"/>
      <c r="J178"/>
      <c r="K178"/>
      <c r="L178"/>
      <c r="M178"/>
    </row>
    <row r="179" spans="1:13" x14ac:dyDescent="0.2">
      <c r="A179"/>
      <c r="B179"/>
      <c r="C179"/>
      <c r="D179"/>
      <c r="E179"/>
      <c r="F179"/>
      <c r="G179"/>
      <c r="H179"/>
      <c r="I179"/>
      <c r="J179"/>
      <c r="K179"/>
      <c r="L179"/>
      <c r="M179"/>
    </row>
    <row r="180" spans="1:13" x14ac:dyDescent="0.2">
      <c r="A180"/>
      <c r="B180"/>
      <c r="C180"/>
      <c r="D180"/>
      <c r="E180"/>
      <c r="F180"/>
      <c r="G180"/>
      <c r="H180"/>
      <c r="I180"/>
      <c r="J180"/>
      <c r="K180"/>
      <c r="L180"/>
      <c r="M180"/>
    </row>
    <row r="181" spans="1:13" x14ac:dyDescent="0.2">
      <c r="A181"/>
      <c r="B181"/>
      <c r="C181"/>
      <c r="D181"/>
      <c r="E181"/>
      <c r="F181"/>
      <c r="G181"/>
      <c r="H181"/>
      <c r="I181"/>
      <c r="J181"/>
      <c r="K181"/>
      <c r="L181"/>
      <c r="M181"/>
    </row>
    <row r="182" spans="1:13" x14ac:dyDescent="0.2">
      <c r="J182" s="7"/>
      <c r="K182" s="7"/>
      <c r="L182" s="7"/>
      <c r="M182" s="7"/>
    </row>
    <row r="183" spans="1:13" x14ac:dyDescent="0.2">
      <c r="E183" s="6"/>
      <c r="F183" s="6"/>
      <c r="G183" s="6"/>
      <c r="H183" s="6"/>
      <c r="I183" s="6"/>
    </row>
    <row r="186" spans="1:13" x14ac:dyDescent="0.2">
      <c r="E186" s="6"/>
      <c r="F186" s="6"/>
      <c r="G186" s="6"/>
      <c r="H186" s="6"/>
      <c r="I186" s="6"/>
    </row>
    <row r="188" spans="1:13" x14ac:dyDescent="0.2">
      <c r="D188" s="12"/>
      <c r="E188" s="6"/>
      <c r="F188" s="6"/>
      <c r="G188" s="6"/>
      <c r="H188" s="6"/>
      <c r="I188" s="6"/>
    </row>
    <row r="190" spans="1:13" x14ac:dyDescent="0.2">
      <c r="E190" s="6"/>
      <c r="F190" s="6"/>
      <c r="G190" s="6"/>
      <c r="H190" s="6"/>
      <c r="I190" s="6"/>
    </row>
    <row r="191" spans="1:13" x14ac:dyDescent="0.2">
      <c r="E191" s="6"/>
      <c r="F191" s="6"/>
      <c r="G191" s="6"/>
      <c r="H191" s="6"/>
      <c r="I191" s="6"/>
    </row>
    <row r="192" spans="1:13" x14ac:dyDescent="0.2">
      <c r="E192" s="6"/>
      <c r="F192" s="6"/>
      <c r="G192" s="6"/>
      <c r="H192" s="6"/>
      <c r="I192" s="6"/>
    </row>
    <row r="194" spans="5:9" x14ac:dyDescent="0.2">
      <c r="E194" s="6"/>
      <c r="F194" s="6"/>
      <c r="G194" s="6"/>
      <c r="H194" s="6"/>
      <c r="I194" s="6"/>
    </row>
    <row r="195" spans="5:9" x14ac:dyDescent="0.2">
      <c r="E195" s="6"/>
      <c r="F195" s="6"/>
      <c r="G195" s="6"/>
      <c r="H195" s="6"/>
      <c r="I195" s="6"/>
    </row>
    <row r="196" spans="5:9" x14ac:dyDescent="0.2">
      <c r="E196" s="6"/>
      <c r="F196" s="6"/>
      <c r="G196" s="6"/>
      <c r="H196" s="6"/>
      <c r="I196" s="6"/>
    </row>
    <row r="197" spans="5:9" x14ac:dyDescent="0.2">
      <c r="E197" s="6"/>
      <c r="F197" s="6"/>
      <c r="G197" s="6"/>
      <c r="H197" s="6"/>
      <c r="I197" s="6"/>
    </row>
    <row r="198" spans="5:9" x14ac:dyDescent="0.2">
      <c r="E198" s="6"/>
      <c r="F198" s="6"/>
      <c r="G198" s="6"/>
      <c r="H198" s="6"/>
      <c r="I198" s="6"/>
    </row>
    <row r="199" spans="5:9" x14ac:dyDescent="0.2">
      <c r="E199" s="6"/>
      <c r="F199" s="6"/>
      <c r="G199" s="6"/>
      <c r="H199" s="6"/>
      <c r="I199" s="6"/>
    </row>
    <row r="200" spans="5:9" x14ac:dyDescent="0.2">
      <c r="E200" s="6"/>
      <c r="F200" s="6"/>
      <c r="G200" s="6"/>
      <c r="H200" s="6"/>
      <c r="I200" s="6"/>
    </row>
  </sheetData>
  <sheetProtection sheet="1" objects="1" scenarios="1"/>
  <mergeCells count="62">
    <mergeCell ref="AB113:AC113"/>
    <mergeCell ref="AE113:AF113"/>
    <mergeCell ref="AB116:AC118"/>
    <mergeCell ref="AE116:AF118"/>
    <mergeCell ref="A112:AF112"/>
    <mergeCell ref="S116:T118"/>
    <mergeCell ref="Y116:Z118"/>
    <mergeCell ref="V116:W118"/>
    <mergeCell ref="V113:W113"/>
    <mergeCell ref="Y113:Z113"/>
    <mergeCell ref="P113:Q113"/>
    <mergeCell ref="P116:Q118"/>
    <mergeCell ref="S113:T113"/>
    <mergeCell ref="A145:E145"/>
    <mergeCell ref="B114:B117"/>
    <mergeCell ref="D116:E118"/>
    <mergeCell ref="J113:K113"/>
    <mergeCell ref="M113:N113"/>
    <mergeCell ref="M116:N118"/>
    <mergeCell ref="D113:E113"/>
    <mergeCell ref="A151:E151"/>
    <mergeCell ref="B147:E147"/>
    <mergeCell ref="B148:E148"/>
    <mergeCell ref="A146:E146"/>
    <mergeCell ref="A150:E150"/>
    <mergeCell ref="B149:E149"/>
    <mergeCell ref="AR3:AY3"/>
    <mergeCell ref="B21:B24"/>
    <mergeCell ref="A19:E19"/>
    <mergeCell ref="A11:C11"/>
    <mergeCell ref="AR4:AY4"/>
    <mergeCell ref="B6:C6"/>
    <mergeCell ref="A18:E18"/>
    <mergeCell ref="G12:G17"/>
    <mergeCell ref="D3:F3"/>
    <mergeCell ref="G3:J3"/>
    <mergeCell ref="D54:E56"/>
    <mergeCell ref="G54:H56"/>
    <mergeCell ref="A80:K80"/>
    <mergeCell ref="AT49:AV49"/>
    <mergeCell ref="B52:B55"/>
    <mergeCell ref="G51:H51"/>
    <mergeCell ref="D51:E51"/>
    <mergeCell ref="A49:H49"/>
    <mergeCell ref="A50:H50"/>
    <mergeCell ref="C1:F1"/>
    <mergeCell ref="B3:C3"/>
    <mergeCell ref="F26:F43"/>
    <mergeCell ref="D23:E25"/>
    <mergeCell ref="D20:E20"/>
    <mergeCell ref="A81:K81"/>
    <mergeCell ref="D85:E87"/>
    <mergeCell ref="G85:H87"/>
    <mergeCell ref="G116:H118"/>
    <mergeCell ref="J116:K118"/>
    <mergeCell ref="J82:K82"/>
    <mergeCell ref="A111:N111"/>
    <mergeCell ref="G113:H113"/>
    <mergeCell ref="B83:B86"/>
    <mergeCell ref="J85:K87"/>
    <mergeCell ref="G82:H82"/>
    <mergeCell ref="D82:E82"/>
  </mergeCells>
  <phoneticPr fontId="0" type="noConversion"/>
  <conditionalFormatting sqref="J85:K86 G85:H86 D85:E86 D23:E24 G54:H55 D54:E55">
    <cfRule type="expression" dxfId="30" priority="32" stopIfTrue="1">
      <formula>D43&lt;&gt;0</formula>
    </cfRule>
  </conditionalFormatting>
  <conditionalFormatting sqref="J87:K87 G87:H87 D87:E87 D25:E25 G56:H56 D56:E56">
    <cfRule type="expression" dxfId="29" priority="33" stopIfTrue="1">
      <formula>D48&lt;&gt;0</formula>
    </cfRule>
  </conditionalFormatting>
  <conditionalFormatting sqref="Y116:Z116 V116:W116 P116:Q116 S116:T116 D116:E116 J116:K116 G116:H116 M116 AB116:AC116">
    <cfRule type="expression" dxfId="28" priority="40" stopIfTrue="1">
      <formula>D137=10</formula>
    </cfRule>
    <cfRule type="expression" dxfId="27" priority="41" stopIfTrue="1">
      <formula>D138&lt;&gt;0</formula>
    </cfRule>
  </conditionalFormatting>
  <conditionalFormatting sqref="Y118:Z118 V118:W118 P118:Q118 S118:T118 D118:E118 J118:K118 G118:H118 AB118:AC118">
    <cfRule type="expression" dxfId="26" priority="42" stopIfTrue="1">
      <formula>D140=10</formula>
    </cfRule>
    <cfRule type="expression" dxfId="25" priority="43" stopIfTrue="1">
      <formula>D141&lt;&gt;0</formula>
    </cfRule>
  </conditionalFormatting>
  <conditionalFormatting sqref="Y117:Z117 V117:W117 P117:Q117 S117:T117 D117:E117 J117:K117 G117:H117 AB117:AC117">
    <cfRule type="expression" dxfId="24" priority="44" stopIfTrue="1">
      <formula>D138=10</formula>
    </cfRule>
    <cfRule type="expression" dxfId="23" priority="45" stopIfTrue="1">
      <formula>D140&lt;&gt;0</formula>
    </cfRule>
  </conditionalFormatting>
  <conditionalFormatting sqref="D22 J84 D84 G84 D53 G53">
    <cfRule type="expression" dxfId="22" priority="34" stopIfTrue="1">
      <formula>IF(OR(E21=$AR$15,E21=$AR$14),1,0)</formula>
    </cfRule>
  </conditionalFormatting>
  <conditionalFormatting sqref="P115 S115 V115 Y115 M115 J115 G115 D115">
    <cfRule type="expression" dxfId="21" priority="46" stopIfTrue="1">
      <formula>IF(OR(E114=$AR$15,E114=$AR$14, E114=$AR$6),1,0)</formula>
    </cfRule>
  </conditionalFormatting>
  <conditionalFormatting sqref="C17">
    <cfRule type="cellIs" dxfId="20" priority="58" stopIfTrue="1" operator="notEqual">
      <formula>1.1</formula>
    </cfRule>
  </conditionalFormatting>
  <conditionalFormatting sqref="E22 E53 H53 E84 H84 K84 E115 H115 K115 N115">
    <cfRule type="expression" dxfId="19" priority="59" stopIfTrue="1">
      <formula>IF(OR(E21=_dev_ARC,E21=_dev_ARC_2, E21=_dev_ARC_2e, E21=_dev_ARC_3, E21=_dev_None),1,0)</formula>
    </cfRule>
  </conditionalFormatting>
  <conditionalFormatting sqref="B144 B48 B79 B110">
    <cfRule type="cellIs" dxfId="18" priority="37" stopIfTrue="1" operator="greaterThan">
      <formula>max_current</formula>
    </cfRule>
  </conditionalFormatting>
  <conditionalFormatting sqref="C144 C48 C79 C110">
    <cfRule type="cellIs" dxfId="17" priority="38" stopIfTrue="1" operator="notEqual">
      <formula>"OK"</formula>
    </cfRule>
  </conditionalFormatting>
  <conditionalFormatting sqref="A4:F4">
    <cfRule type="expression" dxfId="16" priority="47" stopIfTrue="1">
      <formula>$B$3&lt;&gt;_pwr_Custom</formula>
    </cfRule>
  </conditionalFormatting>
  <conditionalFormatting sqref="B6:C6">
    <cfRule type="expression" dxfId="15" priority="64" stopIfTrue="1">
      <formula>$B$3=_pwr_ARC_PSe</formula>
    </cfRule>
  </conditionalFormatting>
  <conditionalFormatting sqref="E21 E52 H52 E83 H83 K83 E114 H114 K114 N114">
    <cfRule type="expression" priority="65" stopIfTrue="1">
      <formula>IF(LEN(E21) &gt;= 12, 1, 0)</formula>
    </cfRule>
  </conditionalFormatting>
  <conditionalFormatting sqref="B3:C3">
    <cfRule type="cellIs" dxfId="14" priority="66" stopIfTrue="1" operator="equal">
      <formula>_pwr_Select</formula>
    </cfRule>
  </conditionalFormatting>
  <conditionalFormatting sqref="AE116:AF116">
    <cfRule type="expression" dxfId="13" priority="23" stopIfTrue="1">
      <formula>AE137=10</formula>
    </cfRule>
    <cfRule type="expression" dxfId="12" priority="24" stopIfTrue="1">
      <formula>AE138&lt;&gt;0</formula>
    </cfRule>
  </conditionalFormatting>
  <conditionalFormatting sqref="AE118:AF118">
    <cfRule type="expression" dxfId="11" priority="25" stopIfTrue="1">
      <formula>AE140=10</formula>
    </cfRule>
    <cfRule type="expression" dxfId="10" priority="26" stopIfTrue="1">
      <formula>AE141&lt;&gt;0</formula>
    </cfRule>
  </conditionalFormatting>
  <conditionalFormatting sqref="AE117:AF117">
    <cfRule type="expression" dxfId="9" priority="27" stopIfTrue="1">
      <formula>AE138=10</formula>
    </cfRule>
    <cfRule type="expression" dxfId="8" priority="28" stopIfTrue="1">
      <formula>AE140&lt;&gt;0</formula>
    </cfRule>
  </conditionalFormatting>
  <conditionalFormatting sqref="AB115 AE115">
    <cfRule type="expression" dxfId="7" priority="29" stopIfTrue="1">
      <formula>IF(OR(AC114=$AR$15,AC114=$AR$14, AC114=$AR$6),1,0)</formula>
    </cfRule>
  </conditionalFormatting>
  <conditionalFormatting sqref="G3">
    <cfRule type="expression" dxfId="6" priority="22">
      <formula>IF(F12&lt;100,1,0)</formula>
    </cfRule>
  </conditionalFormatting>
  <conditionalFormatting sqref="Q115">
    <cfRule type="expression" dxfId="5" priority="16" stopIfTrue="1">
      <formula>IF(OR(Q114=_dev_ARC,Q114=_dev_ARC_2, Q114=_dev_ARC_2e, Q114=_dev_ARC_3, Q114=_dev_None),1,0)</formula>
    </cfRule>
  </conditionalFormatting>
  <conditionalFormatting sqref="Q114">
    <cfRule type="expression" priority="17" stopIfTrue="1">
      <formula>IF(LEN(Q114) &gt;= 12, 1, 0)</formula>
    </cfRule>
  </conditionalFormatting>
  <conditionalFormatting sqref="T115">
    <cfRule type="expression" dxfId="4" priority="14" stopIfTrue="1">
      <formula>IF(OR(T114=_dev_ARC,T114=_dev_ARC_2, T114=_dev_ARC_2e, T114=_dev_ARC_3, T114=_dev_None),1,0)</formula>
    </cfRule>
  </conditionalFormatting>
  <conditionalFormatting sqref="W115">
    <cfRule type="expression" dxfId="3" priority="12" stopIfTrue="1">
      <formula>IF(OR(W114=_dev_ARC,W114=_dev_ARC_2, W114=_dev_ARC_2e, W114=_dev_ARC_3, W114=_dev_None),1,0)</formula>
    </cfRule>
  </conditionalFormatting>
  <conditionalFormatting sqref="Z115">
    <cfRule type="expression" dxfId="2" priority="10" stopIfTrue="1">
      <formula>IF(OR(Z114=_dev_ARC,Z114=_dev_ARC_2, Z114=_dev_ARC_2e, Z114=_dev_ARC_3, Z114=_dev_None),1,0)</formula>
    </cfRule>
  </conditionalFormatting>
  <conditionalFormatting sqref="AC115">
    <cfRule type="expression" dxfId="1" priority="8" stopIfTrue="1">
      <formula>IF(OR(AC114=_dev_ARC,AC114=_dev_ARC_2, AC114=_dev_ARC_2e, AC114=_dev_ARC_3, AC114=_dev_None),1,0)</formula>
    </cfRule>
  </conditionalFormatting>
  <conditionalFormatting sqref="AF115">
    <cfRule type="expression" dxfId="0" priority="6" stopIfTrue="1">
      <formula>IF(OR(AF114=_dev_ARC,AF114=_dev_ARC_2, AF114=_dev_ARC_2e, AF114=_dev_ARC_3, AF114=_dev_None),1,0)</formula>
    </cfRule>
  </conditionalFormatting>
  <conditionalFormatting sqref="AC114">
    <cfRule type="expression" priority="3" stopIfTrue="1">
      <formula>IF(LEN(AC114) &gt;= 12, 1, 0)</formula>
    </cfRule>
  </conditionalFormatting>
  <conditionalFormatting sqref="T114">
    <cfRule type="expression" priority="5" stopIfTrue="1">
      <formula>IF(LEN(T114) &gt;= 12, 1, 0)</formula>
    </cfRule>
  </conditionalFormatting>
  <conditionalFormatting sqref="AF114">
    <cfRule type="expression" priority="4" stopIfTrue="1">
      <formula>IF(LEN(AF114) &gt;= 12, 1, 0)</formula>
    </cfRule>
  </conditionalFormatting>
  <conditionalFormatting sqref="Z114">
    <cfRule type="expression" priority="2" stopIfTrue="1">
      <formula>IF(LEN(Z114) &gt;= 12, 1, 0)</formula>
    </cfRule>
  </conditionalFormatting>
  <conditionalFormatting sqref="W114">
    <cfRule type="expression" priority="1" stopIfTrue="1">
      <formula>IF(LEN(W114) &gt;= 12, 1, 0)</formula>
    </cfRule>
  </conditionalFormatting>
  <dataValidations count="11">
    <dataValidation type="list" errorStyle="warning" allowBlank="1" showInputMessage="1" showErrorMessage="1" errorTitle="Invalid Expansion Panel Value" error="The value for the number of Expansion Panels is not valid.  Please select a valid value from the list." promptTitle="Select Expansion Panels" prompt="Select total number of expansion panels (EX4e, EXK). This setting does not apply to ARC-2, ARC-2e or ARC-3." sqref="E22 E53 H53 E84 K84 H84">
      <formula1>IF(D38 = 4, _Exp0_4, IF(D38 = 3, _Exp0_3, _Exp0))</formula1>
    </dataValidation>
    <dataValidation type="whole" operator="greaterThanOrEqual" allowBlank="1" showErrorMessage="1" errorTitle="Error" error="Cable length must be a positive whole number starting at 0." prompt="Cable Length" sqref="X116 L116 I116 F116 O116 U116 R116 I85 F85 F54 AD116 AA116">
      <formula1>0</formula1>
    </dataValidation>
    <dataValidation type="list" showErrorMessage="1" errorTitle="Error" error="Cable Gauge can only be 24, 26, or 28." prompt="Cable Guage" sqref="X115 F115 I115 L115 O115 U115 R115 C53 C84 C22 I84 F84 F53 AD115 AA115">
      <formula1>"24,26,28"</formula1>
    </dataValidation>
    <dataValidation type="decimal" operator="greaterThanOrEqual" allowBlank="1" showErrorMessage="1" errorTitle="Error" error="Cable length must be a positive whole number starting at 0." prompt="Cable Length" sqref="C116 C85 C54 C23">
      <formula1>0</formula1>
    </dataValidation>
    <dataValidation type="list" showErrorMessage="1" errorTitle="Error" error="Cable Gauge can only be 24, 26, or 28." prompt="Cable Guage" sqref="C115">
      <formula1>"24, 26, 28"</formula1>
    </dataValidation>
    <dataValidation type="list" allowBlank="1" showInputMessage="1" showErrorMessage="1" sqref="B6">
      <formula1>"Not grounded, Grounded"</formula1>
    </dataValidation>
    <dataValidation type="list" allowBlank="1" showInputMessage="1" showErrorMessage="1" errorTitle="Invalid ARC Type" error="Please select a valid ARC type from the drop-down list." promptTitle="Select ARC device type." prompt="Use the drop-down list." sqref="K83 H83 E83 H52 E52 E21 E114 H114 K114 N114">
      <formula1>$AR$7:$AR$14</formula1>
    </dataValidation>
    <dataValidation type="list" allowBlank="1" showInputMessage="1" showErrorMessage="1" errorTitle="Invalid ARC Type" error="Please select a valid ARC type from the drop-down list." promptTitle="Select ARC device type." prompt="Use the drop-down list." sqref="W114 AF114 AC114 Z114 Q114 T114">
      <formula1>$AR$6:$AR$14</formula1>
    </dataValidation>
    <dataValidation type="list" errorStyle="warning" allowBlank="1" showInputMessage="1" showErrorMessage="1" errorTitle="Invalid Expansion Panel Value" error="The value for the number of Expansion Panels is not valid.  Please select a valid value from the list." promptTitle="Select Expansion Panels" prompt="Select total number of expansion panels (EX4e, EXK). This setting does not apply to ARC-2, ARC-2e or ARC-3." sqref="T115 W115 Z115 AC115 E115 H115 K115 N115 Q115 AF115">
      <formula1>IF(D132 = 4, _Exp0_4, IF(D132 = 3, _Exp0_3, _Exp0))</formula1>
    </dataValidation>
    <dataValidation type="list" allowBlank="1" showInputMessage="1" showErrorMessage="1" sqref="AR10">
      <formula1>$AU$6:$AU$9</formula1>
    </dataValidation>
    <dataValidation type="list" allowBlank="1" showInputMessage="1" showErrorMessage="1" sqref="B3:C3">
      <formula1>INDEX(_pwr_table,,1)</formula1>
    </dataValidation>
  </dataValidations>
  <hyperlinks>
    <hyperlink ref="A1" location="Instructions!A1" display="Instructions"/>
  </hyperlinks>
  <pageMargins left="0.75" right="0.75" top="1" bottom="1" header="0.5" footer="0.5"/>
  <pageSetup orientation="landscape" r:id="rId1"/>
  <headerFooter alignWithMargins="0"/>
  <cellWatches>
    <cellWatch r="D180"/>
    <cellWatch r="D179"/>
  </cellWatche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A42"/>
  <sheetViews>
    <sheetView workbookViewId="0">
      <selection activeCell="A145" sqref="A145:E145"/>
    </sheetView>
  </sheetViews>
  <sheetFormatPr defaultRowHeight="12.75" x14ac:dyDescent="0.2"/>
  <cols>
    <col min="1" max="1" width="9.140625" style="6"/>
    <col min="2" max="3" width="13.7109375" style="6" customWidth="1"/>
    <col min="4" max="10" width="9.140625" style="6"/>
    <col min="11" max="11" width="5.140625" style="6" customWidth="1"/>
    <col min="12" max="12" width="11.7109375" style="6" customWidth="1"/>
    <col min="13" max="13" width="12.5703125" style="6" customWidth="1"/>
    <col min="14" max="14" width="11.7109375" style="6" customWidth="1"/>
    <col min="15" max="15" width="14.140625" style="6" customWidth="1"/>
    <col min="16" max="16" width="4" style="6" customWidth="1"/>
    <col min="17" max="17" width="11.7109375" style="6" customWidth="1"/>
    <col min="18" max="18" width="9.140625" style="6" hidden="1" customWidth="1"/>
    <col min="19" max="19" width="9.7109375" style="6" customWidth="1"/>
    <col min="20" max="20" width="9.85546875" style="6" customWidth="1"/>
    <col min="21" max="21" width="9.140625" style="6"/>
    <col min="22" max="22" width="6.42578125" style="6" customWidth="1"/>
    <col min="23" max="23" width="11.7109375" style="6" customWidth="1"/>
    <col min="24" max="24" width="12.5703125" style="6" customWidth="1"/>
    <col min="25" max="25" width="11.7109375" style="6" customWidth="1"/>
    <col min="26" max="26" width="14.140625" style="6" customWidth="1"/>
    <col min="27" max="16384" width="9.140625" style="6"/>
  </cols>
  <sheetData>
    <row r="1" spans="12:27" x14ac:dyDescent="0.2">
      <c r="Q1" s="206" t="s">
        <v>134</v>
      </c>
      <c r="R1" s="206"/>
      <c r="S1" s="206"/>
      <c r="T1" s="206"/>
      <c r="W1" s="207" t="s">
        <v>146</v>
      </c>
      <c r="X1" s="207"/>
      <c r="Y1" s="207"/>
      <c r="Z1" s="207"/>
    </row>
    <row r="2" spans="12:27" x14ac:dyDescent="0.2">
      <c r="L2" s="17" t="s">
        <v>38</v>
      </c>
      <c r="M2" s="18" t="s">
        <v>37</v>
      </c>
      <c r="N2" s="18" t="s">
        <v>40</v>
      </c>
      <c r="O2" s="106" t="s">
        <v>63</v>
      </c>
      <c r="P2" s="108"/>
      <c r="Q2" s="107" t="s">
        <v>37</v>
      </c>
      <c r="R2" s="6" t="s">
        <v>42</v>
      </c>
      <c r="S2" s="107" t="s">
        <v>40</v>
      </c>
      <c r="T2" s="107" t="s">
        <v>133</v>
      </c>
      <c r="W2" s="17" t="s">
        <v>38</v>
      </c>
      <c r="X2" s="18" t="s">
        <v>37</v>
      </c>
      <c r="Y2" s="18" t="s">
        <v>40</v>
      </c>
      <c r="Z2" s="106" t="s">
        <v>63</v>
      </c>
      <c r="AA2" s="107" t="s">
        <v>133</v>
      </c>
    </row>
    <row r="3" spans="12:27" x14ac:dyDescent="0.2">
      <c r="L3" s="13">
        <v>5.6</v>
      </c>
      <c r="M3" s="14">
        <v>183.3</v>
      </c>
      <c r="N3" s="7">
        <f t="shared" ref="N3:N34" si="0">L3*M3/1000</f>
        <v>1.0264800000000001</v>
      </c>
      <c r="O3" s="7">
        <f xml:space="preserve"> -0.000014363659*L3^6 + 0.00167333112*L3^5 - 0.0772490725*L3^4 + 1.77799718*L3^3 - 20.7188537*L3^2 + 101.5283*L3^1 + 25.4712002</f>
        <v>189.33318836378874</v>
      </c>
      <c r="P3" s="7"/>
      <c r="Q3" s="109">
        <f t="shared" ref="Q3:Q34" si="1">1754.7*L3^(-1.0145)</f>
        <v>305.60898795541328</v>
      </c>
      <c r="R3" s="110">
        <f t="shared" ref="R3:R34" si="2">(Q3-M3)/Q3</f>
        <v>0.40021397529465824</v>
      </c>
      <c r="S3" s="111">
        <f t="shared" ref="S3:S34" si="3">L3*Q3/1000</f>
        <v>1.7114103325503143</v>
      </c>
      <c r="T3" s="92">
        <f>N3/S3</f>
        <v>0.59978602470534181</v>
      </c>
      <c r="W3" s="13">
        <v>5.6</v>
      </c>
      <c r="X3" s="14">
        <v>176</v>
      </c>
      <c r="Y3" s="7">
        <f>W3*X3/1000</f>
        <v>0.98559999999999992</v>
      </c>
      <c r="Z3" s="7">
        <f xml:space="preserve"> -0.00001372394*W3^6 + 0.00157557473*W3^5 - 0.071702249237*W3^4 + 1.62770450135*W3^3 - 18.708697392225*W3^2 + 89.821659484397*W3^1 + 40.853178488204</f>
        <v>180.73905769964566</v>
      </c>
      <c r="AA3" s="92">
        <f>N3/Y3</f>
        <v>1.041477272727273</v>
      </c>
    </row>
    <row r="4" spans="12:27" x14ac:dyDescent="0.2">
      <c r="L4" s="13">
        <v>5.99</v>
      </c>
      <c r="M4" s="14">
        <v>185.2</v>
      </c>
      <c r="N4" s="7">
        <f>L4*M4/1000</f>
        <v>1.109348</v>
      </c>
      <c r="O4" s="7">
        <f t="shared" ref="O4:O34" si="4" xml:space="preserve"> -0.000014363659*L4^6 + 0.00167333112*L4^5 - 0.0772490725*L4^4 + 1.77799718*L4^3 - 20.7188537*L4^2 + 101.5283*L4^1 + 25.4712002</f>
        <v>185.15276894442411</v>
      </c>
      <c r="P4" s="7"/>
      <c r="Q4" s="109">
        <f>1754.7*L4^(-1.0145)</f>
        <v>285.43246280576591</v>
      </c>
      <c r="R4" s="110">
        <f t="shared" si="2"/>
        <v>0.35115999708124707</v>
      </c>
      <c r="S4" s="111">
        <f t="shared" si="3"/>
        <v>1.7097404522065378</v>
      </c>
      <c r="T4" s="92">
        <f t="shared" ref="T4:T34" si="5">N4/S4</f>
        <v>0.64884000291875299</v>
      </c>
      <c r="W4" s="13">
        <v>6</v>
      </c>
      <c r="X4" s="14">
        <v>177</v>
      </c>
      <c r="Y4" s="7">
        <f>W4*X4/1000</f>
        <v>1.0620000000000001</v>
      </c>
      <c r="Z4" s="7">
        <f t="shared" ref="Z4:Z34" si="6" xml:space="preserve"> -0.00001372394*W4^6 + 0.00157557473*W4^5 - 0.071702249237*W4^4 + 1.62770450135*W4^3 - 18.708697392225*W4^2 + 89.821659484397*W4^1 + 40.853178488204</f>
        <v>176.539451510774</v>
      </c>
      <c r="AA4" s="92">
        <f t="shared" ref="AA4:AA34" si="7">N4/Y4</f>
        <v>1.0445838041431261</v>
      </c>
    </row>
    <row r="5" spans="12:27" x14ac:dyDescent="0.2">
      <c r="L5" s="13">
        <v>6.51</v>
      </c>
      <c r="M5" s="14">
        <v>185.4</v>
      </c>
      <c r="N5" s="7">
        <f>L5*M5/1000</f>
        <v>1.2069539999999999</v>
      </c>
      <c r="O5" s="7">
        <f t="shared" si="4"/>
        <v>178.61991856092072</v>
      </c>
      <c r="P5" s="7"/>
      <c r="Q5" s="109">
        <f>1754.7*L5^(-1.0145)</f>
        <v>262.31610988751896</v>
      </c>
      <c r="R5" s="110">
        <f t="shared" si="2"/>
        <v>0.29321916187496283</v>
      </c>
      <c r="S5" s="111">
        <f t="shared" si="3"/>
        <v>1.7076778753677484</v>
      </c>
      <c r="T5" s="92">
        <f t="shared" si="5"/>
        <v>0.70678083812503711</v>
      </c>
      <c r="W5" s="13">
        <v>6.5</v>
      </c>
      <c r="X5" s="14">
        <v>175</v>
      </c>
      <c r="Y5" s="7">
        <f>W5*X5/1000</f>
        <v>1.1375</v>
      </c>
      <c r="Z5" s="7">
        <f t="shared" si="6"/>
        <v>170.51305427215473</v>
      </c>
      <c r="AA5" s="92">
        <f t="shared" si="7"/>
        <v>1.0610584615384615</v>
      </c>
    </row>
    <row r="6" spans="12:27" x14ac:dyDescent="0.2">
      <c r="L6" s="13">
        <v>7</v>
      </c>
      <c r="M6" s="14">
        <v>177.2</v>
      </c>
      <c r="N6" s="7">
        <f>L6*M6/1000</f>
        <v>1.2403999999999999</v>
      </c>
      <c r="O6" s="7">
        <f t="shared" si="4"/>
        <v>171.75728458364904</v>
      </c>
      <c r="P6" s="7"/>
      <c r="Q6" s="109">
        <f>1754.7*L6^(-1.0145)</f>
        <v>243.6974105231894</v>
      </c>
      <c r="R6" s="110">
        <f t="shared" si="2"/>
        <v>0.27286876122494436</v>
      </c>
      <c r="S6" s="111">
        <f t="shared" si="3"/>
        <v>1.705881873662326</v>
      </c>
      <c r="T6" s="92">
        <f t="shared" si="5"/>
        <v>0.72713123877505559</v>
      </c>
      <c r="W6" s="13">
        <v>7</v>
      </c>
      <c r="X6" s="14">
        <v>168.5</v>
      </c>
      <c r="Y6" s="7">
        <f>W6*X6/1000</f>
        <v>1.1795</v>
      </c>
      <c r="Z6" s="7">
        <f t="shared" si="6"/>
        <v>163.89024287502085</v>
      </c>
      <c r="AA6" s="92">
        <f t="shared" si="7"/>
        <v>1.0516320474777447</v>
      </c>
    </row>
    <row r="7" spans="12:27" x14ac:dyDescent="0.2">
      <c r="L7" s="13">
        <v>7.48</v>
      </c>
      <c r="M7" s="14">
        <v>166.1</v>
      </c>
      <c r="N7" s="7">
        <f>L7*M7/1000</f>
        <v>1.2424280000000001</v>
      </c>
      <c r="O7" s="7">
        <f t="shared" si="4"/>
        <v>164.62489635790257</v>
      </c>
      <c r="P7" s="7"/>
      <c r="Q7" s="109">
        <f>1754.7*L7^(-1.0145)</f>
        <v>227.83985997488557</v>
      </c>
      <c r="R7" s="110">
        <f t="shared" si="2"/>
        <v>0.27097918679238597</v>
      </c>
      <c r="S7" s="111">
        <f t="shared" si="3"/>
        <v>1.7042421526121441</v>
      </c>
      <c r="T7" s="92">
        <f t="shared" si="5"/>
        <v>0.72902081320761414</v>
      </c>
      <c r="W7" s="13">
        <v>7.52</v>
      </c>
      <c r="X7" s="14">
        <v>158</v>
      </c>
      <c r="Y7" s="7">
        <f>W7*X7/1000</f>
        <v>1.1881599999999999</v>
      </c>
      <c r="Z7" s="7">
        <f t="shared" si="6"/>
        <v>156.63209791645525</v>
      </c>
      <c r="AA7" s="92">
        <f t="shared" si="7"/>
        <v>1.0456739833019124</v>
      </c>
    </row>
    <row r="8" spans="12:27" x14ac:dyDescent="0.2">
      <c r="L8" s="13">
        <v>8.01</v>
      </c>
      <c r="M8" s="14">
        <v>155.4</v>
      </c>
      <c r="N8" s="7">
        <f t="shared" si="0"/>
        <v>1.2447539999999999</v>
      </c>
      <c r="O8" s="7">
        <f t="shared" si="4"/>
        <v>156.52610148307792</v>
      </c>
      <c r="P8" s="7"/>
      <c r="Q8" s="109">
        <f t="shared" si="1"/>
        <v>212.5532199860761</v>
      </c>
      <c r="R8" s="110">
        <f t="shared" si="2"/>
        <v>0.26888898690793805</v>
      </c>
      <c r="S8" s="111">
        <f t="shared" si="3"/>
        <v>1.7025512920884696</v>
      </c>
      <c r="T8" s="92">
        <f t="shared" si="5"/>
        <v>0.73111101309206183</v>
      </c>
      <c r="W8" s="13">
        <v>8.01</v>
      </c>
      <c r="X8" s="14">
        <v>149</v>
      </c>
      <c r="Y8" s="7">
        <f t="shared" ref="Y8:Y34" si="8">W8*X8/1000</f>
        <v>1.1934899999999999</v>
      </c>
      <c r="Z8" s="7">
        <f t="shared" si="6"/>
        <v>149.6501530636796</v>
      </c>
      <c r="AA8" s="92">
        <f t="shared" si="7"/>
        <v>1.0429530201342281</v>
      </c>
    </row>
    <row r="9" spans="12:27" x14ac:dyDescent="0.2">
      <c r="L9" s="13">
        <v>8.52</v>
      </c>
      <c r="M9" s="14">
        <v>146.19999999999999</v>
      </c>
      <c r="N9" s="7">
        <f t="shared" si="0"/>
        <v>1.2456239999999998</v>
      </c>
      <c r="O9" s="7">
        <f t="shared" si="4"/>
        <v>148.71709802178134</v>
      </c>
      <c r="P9" s="7"/>
      <c r="Q9" s="109">
        <f t="shared" si="1"/>
        <v>199.65119187900655</v>
      </c>
      <c r="R9" s="110">
        <f t="shared" si="2"/>
        <v>0.26772287896682967</v>
      </c>
      <c r="S9" s="111">
        <f t="shared" si="3"/>
        <v>1.7010281548091357</v>
      </c>
      <c r="T9" s="92">
        <f t="shared" si="5"/>
        <v>0.73227712103317033</v>
      </c>
      <c r="W9" s="13">
        <v>8.49</v>
      </c>
      <c r="X9" s="14">
        <v>140.6</v>
      </c>
      <c r="Y9" s="7">
        <f t="shared" si="8"/>
        <v>1.193694</v>
      </c>
      <c r="Z9" s="7">
        <f t="shared" si="6"/>
        <v>142.83172852638134</v>
      </c>
      <c r="AA9" s="92">
        <f t="shared" si="7"/>
        <v>1.0435036114783185</v>
      </c>
    </row>
    <row r="10" spans="12:27" x14ac:dyDescent="0.2">
      <c r="L10" s="13">
        <v>9.0299999999999994</v>
      </c>
      <c r="M10" s="14">
        <v>138.1</v>
      </c>
      <c r="N10" s="7">
        <f t="shared" si="0"/>
        <v>1.2470429999999999</v>
      </c>
      <c r="O10" s="7">
        <f t="shared" si="4"/>
        <v>141.05876065760299</v>
      </c>
      <c r="P10" s="7"/>
      <c r="Q10" s="109">
        <f t="shared" si="1"/>
        <v>188.21648275251715</v>
      </c>
      <c r="R10" s="110">
        <f t="shared" si="2"/>
        <v>0.26627042445806681</v>
      </c>
      <c r="S10" s="111">
        <f t="shared" si="3"/>
        <v>1.6995948392552298</v>
      </c>
      <c r="T10" s="92">
        <f t="shared" si="5"/>
        <v>0.73372957554193319</v>
      </c>
      <c r="W10" s="13">
        <v>9.01</v>
      </c>
      <c r="X10" s="14">
        <v>133</v>
      </c>
      <c r="Y10" s="7">
        <f t="shared" si="8"/>
        <v>1.1983299999999999</v>
      </c>
      <c r="Z10" s="7">
        <f t="shared" si="6"/>
        <v>135.60782961623434</v>
      </c>
      <c r="AA10" s="92">
        <f t="shared" si="7"/>
        <v>1.0406507389450319</v>
      </c>
    </row>
    <row r="11" spans="12:27" x14ac:dyDescent="0.2">
      <c r="L11" s="13">
        <v>9.5299999999999994</v>
      </c>
      <c r="M11" s="14">
        <v>131</v>
      </c>
      <c r="N11" s="7">
        <f t="shared" si="0"/>
        <v>1.2484299999999999</v>
      </c>
      <c r="O11" s="7">
        <f t="shared" si="4"/>
        <v>133.82098604011037</v>
      </c>
      <c r="P11" s="7"/>
      <c r="Q11" s="109">
        <f t="shared" si="1"/>
        <v>178.20222751536747</v>
      </c>
      <c r="R11" s="110">
        <f t="shared" si="2"/>
        <v>0.2648801205994854</v>
      </c>
      <c r="S11" s="111">
        <f t="shared" si="3"/>
        <v>1.6982672282214519</v>
      </c>
      <c r="T11" s="92">
        <f t="shared" si="5"/>
        <v>0.7351198794005146</v>
      </c>
      <c r="W11" s="13">
        <v>9.51</v>
      </c>
      <c r="X11" s="14">
        <v>126.5</v>
      </c>
      <c r="Y11" s="7">
        <f t="shared" si="8"/>
        <v>1.2030149999999999</v>
      </c>
      <c r="Z11" s="7">
        <f t="shared" si="6"/>
        <v>128.92901739662412</v>
      </c>
      <c r="AA11" s="92">
        <f t="shared" si="7"/>
        <v>1.0377509839860684</v>
      </c>
    </row>
    <row r="12" spans="12:27" x14ac:dyDescent="0.2">
      <c r="L12" s="13">
        <v>10.02</v>
      </c>
      <c r="M12" s="14">
        <v>124.9</v>
      </c>
      <c r="N12" s="7">
        <f t="shared" si="0"/>
        <v>1.251498</v>
      </c>
      <c r="O12" s="7">
        <f t="shared" si="4"/>
        <v>127.07712795453995</v>
      </c>
      <c r="P12" s="7"/>
      <c r="Q12" s="109">
        <f t="shared" si="1"/>
        <v>169.36457341629716</v>
      </c>
      <c r="R12" s="110">
        <f t="shared" si="2"/>
        <v>0.26253762826186494</v>
      </c>
      <c r="S12" s="111">
        <f t="shared" si="3"/>
        <v>1.6970330256312975</v>
      </c>
      <c r="T12" s="92">
        <f t="shared" si="5"/>
        <v>0.737462371738135</v>
      </c>
      <c r="W12" s="13">
        <v>10.02</v>
      </c>
      <c r="X12" s="14">
        <v>121</v>
      </c>
      <c r="Y12" s="7">
        <f t="shared" si="8"/>
        <v>1.2124199999999998</v>
      </c>
      <c r="Z12" s="7">
        <f t="shared" si="6"/>
        <v>122.46978462289886</v>
      </c>
      <c r="AA12" s="92">
        <f t="shared" si="7"/>
        <v>1.0322314049586778</v>
      </c>
    </row>
    <row r="13" spans="12:27" x14ac:dyDescent="0.2">
      <c r="L13" s="13">
        <v>11.03</v>
      </c>
      <c r="M13" s="14">
        <v>113.9</v>
      </c>
      <c r="N13" s="7">
        <f t="shared" si="0"/>
        <v>1.2563169999999999</v>
      </c>
      <c r="O13" s="7">
        <f t="shared" si="4"/>
        <v>114.51229052324959</v>
      </c>
      <c r="P13" s="7"/>
      <c r="Q13" s="109">
        <f t="shared" si="1"/>
        <v>153.6420236505725</v>
      </c>
      <c r="R13" s="110">
        <f t="shared" si="2"/>
        <v>0.25866636422960448</v>
      </c>
      <c r="S13" s="111">
        <f t="shared" si="3"/>
        <v>1.6946715208658145</v>
      </c>
      <c r="T13" s="92">
        <f t="shared" si="5"/>
        <v>0.74133363577039546</v>
      </c>
      <c r="W13" s="13">
        <v>10.99</v>
      </c>
      <c r="X13" s="14">
        <v>110.8</v>
      </c>
      <c r="Y13" s="7">
        <f t="shared" si="8"/>
        <v>1.217692</v>
      </c>
      <c r="Z13" s="7">
        <f t="shared" si="6"/>
        <v>111.36206121111027</v>
      </c>
      <c r="AA13" s="92">
        <f t="shared" si="7"/>
        <v>1.0317198437700172</v>
      </c>
    </row>
    <row r="14" spans="12:27" x14ac:dyDescent="0.2">
      <c r="L14" s="13">
        <v>12</v>
      </c>
      <c r="M14" s="14">
        <v>105.1</v>
      </c>
      <c r="N14" s="7">
        <f t="shared" si="0"/>
        <v>1.2611999999999999</v>
      </c>
      <c r="O14" s="7">
        <f t="shared" si="4"/>
        <v>104.32690037638383</v>
      </c>
      <c r="P14" s="7"/>
      <c r="Q14" s="109">
        <f t="shared" si="1"/>
        <v>141.05013363917757</v>
      </c>
      <c r="R14" s="110">
        <f t="shared" si="2"/>
        <v>0.25487486407593307</v>
      </c>
      <c r="S14" s="111">
        <f t="shared" si="3"/>
        <v>1.6926016036701308</v>
      </c>
      <c r="T14" s="92">
        <f t="shared" si="5"/>
        <v>0.74512513592406693</v>
      </c>
      <c r="W14" s="13">
        <v>12.03</v>
      </c>
      <c r="X14" s="14">
        <v>102.4</v>
      </c>
      <c r="Y14" s="7">
        <f t="shared" si="8"/>
        <v>1.2318720000000001</v>
      </c>
      <c r="Z14" s="7">
        <f t="shared" si="6"/>
        <v>101.32819230369856</v>
      </c>
      <c r="AA14" s="92">
        <f t="shared" si="7"/>
        <v>1.0238076683291768</v>
      </c>
    </row>
    <row r="15" spans="12:27" x14ac:dyDescent="0.2">
      <c r="L15" s="13">
        <v>13.01</v>
      </c>
      <c r="M15" s="14">
        <v>97.5</v>
      </c>
      <c r="N15" s="7">
        <f t="shared" si="0"/>
        <v>1.268475</v>
      </c>
      <c r="O15" s="7">
        <f t="shared" si="4"/>
        <v>95.691244037520732</v>
      </c>
      <c r="P15" s="7"/>
      <c r="Q15" s="109">
        <f t="shared" si="1"/>
        <v>129.94768850420948</v>
      </c>
      <c r="R15" s="110">
        <f t="shared" si="2"/>
        <v>0.24969808141803446</v>
      </c>
      <c r="S15" s="111">
        <f t="shared" si="3"/>
        <v>1.6906194274397652</v>
      </c>
      <c r="T15" s="92">
        <f t="shared" si="5"/>
        <v>0.7503019185819656</v>
      </c>
      <c r="W15" s="13">
        <v>13.01</v>
      </c>
      <c r="X15" s="14">
        <v>95.2</v>
      </c>
      <c r="Y15" s="7">
        <f t="shared" si="8"/>
        <v>1.2385519999999999</v>
      </c>
      <c r="Z15" s="7">
        <f t="shared" si="6"/>
        <v>93.630339491524097</v>
      </c>
      <c r="AA15" s="92">
        <f t="shared" si="7"/>
        <v>1.0241596638655464</v>
      </c>
    </row>
    <row r="16" spans="12:27" x14ac:dyDescent="0.2">
      <c r="L16" s="13">
        <v>14.04</v>
      </c>
      <c r="M16" s="14">
        <v>90.9</v>
      </c>
      <c r="N16" s="7">
        <f t="shared" si="0"/>
        <v>1.2762360000000001</v>
      </c>
      <c r="O16" s="7">
        <f t="shared" si="4"/>
        <v>88.76470061546604</v>
      </c>
      <c r="P16" s="7"/>
      <c r="Q16" s="109">
        <f t="shared" si="1"/>
        <v>120.28153040668127</v>
      </c>
      <c r="R16" s="110">
        <f t="shared" si="2"/>
        <v>0.24427300107788794</v>
      </c>
      <c r="S16" s="111">
        <f t="shared" si="3"/>
        <v>1.6887526869098048</v>
      </c>
      <c r="T16" s="92">
        <f t="shared" si="5"/>
        <v>0.75572699892211215</v>
      </c>
      <c r="W16" s="13">
        <v>14</v>
      </c>
      <c r="X16" s="14">
        <v>89</v>
      </c>
      <c r="Y16" s="7">
        <f t="shared" si="8"/>
        <v>1.246</v>
      </c>
      <c r="Z16" s="7">
        <f t="shared" si="6"/>
        <v>87.406270705149069</v>
      </c>
      <c r="AA16" s="92">
        <f t="shared" si="7"/>
        <v>1.0242664526484753</v>
      </c>
    </row>
    <row r="17" spans="12:27" x14ac:dyDescent="0.2">
      <c r="L17" s="13">
        <v>15.03</v>
      </c>
      <c r="M17" s="14">
        <v>85.4</v>
      </c>
      <c r="N17" s="7">
        <f t="shared" si="0"/>
        <v>1.2835620000000001</v>
      </c>
      <c r="O17" s="7">
        <f t="shared" si="4"/>
        <v>83.596058999356615</v>
      </c>
      <c r="P17" s="7"/>
      <c r="Q17" s="109">
        <f t="shared" si="1"/>
        <v>112.24783940756592</v>
      </c>
      <c r="R17" s="110">
        <f t="shared" si="2"/>
        <v>0.23918357403818563</v>
      </c>
      <c r="S17" s="111">
        <f t="shared" si="3"/>
        <v>1.6870850262957158</v>
      </c>
      <c r="T17" s="92">
        <f t="shared" si="5"/>
        <v>0.76081642596181442</v>
      </c>
      <c r="W17" s="13">
        <v>14.99</v>
      </c>
      <c r="X17" s="14">
        <v>83.7</v>
      </c>
      <c r="Y17" s="7">
        <f t="shared" si="8"/>
        <v>1.2546630000000001</v>
      </c>
      <c r="Z17" s="7">
        <f t="shared" si="6"/>
        <v>82.469652290196706</v>
      </c>
      <c r="AA17" s="92">
        <f t="shared" si="7"/>
        <v>1.0230332766647299</v>
      </c>
    </row>
    <row r="18" spans="12:27" x14ac:dyDescent="0.2">
      <c r="L18" s="13">
        <v>15.97</v>
      </c>
      <c r="M18" s="14">
        <v>80.8</v>
      </c>
      <c r="N18" s="7">
        <f t="shared" si="0"/>
        <v>1.290376</v>
      </c>
      <c r="O18" s="7">
        <f t="shared" si="4"/>
        <v>79.721877682991931</v>
      </c>
      <c r="P18" s="7"/>
      <c r="Q18" s="109">
        <f t="shared" si="1"/>
        <v>105.54800735551105</v>
      </c>
      <c r="R18" s="110">
        <f t="shared" si="2"/>
        <v>0.23447157341543942</v>
      </c>
      <c r="S18" s="111">
        <f t="shared" si="3"/>
        <v>1.6856016774675115</v>
      </c>
      <c r="T18" s="92">
        <f t="shared" si="5"/>
        <v>0.76552842658456055</v>
      </c>
      <c r="W18" s="13">
        <v>16.010000000000002</v>
      </c>
      <c r="X18" s="14">
        <v>79.099999999999994</v>
      </c>
      <c r="Y18" s="7">
        <f t="shared" si="8"/>
        <v>1.266391</v>
      </c>
      <c r="Z18" s="7">
        <f t="shared" si="6"/>
        <v>78.396519839636454</v>
      </c>
      <c r="AA18" s="92">
        <f t="shared" si="7"/>
        <v>1.0189396481813278</v>
      </c>
    </row>
    <row r="19" spans="12:27" x14ac:dyDescent="0.2">
      <c r="L19" s="13">
        <v>17.03</v>
      </c>
      <c r="M19" s="14">
        <v>76.3</v>
      </c>
      <c r="N19" s="7">
        <f t="shared" si="0"/>
        <v>1.2993890000000001</v>
      </c>
      <c r="O19" s="7">
        <f t="shared" si="4"/>
        <v>76.179360275182603</v>
      </c>
      <c r="P19" s="7"/>
      <c r="Q19" s="109">
        <f t="shared" si="1"/>
        <v>98.886183511782008</v>
      </c>
      <c r="R19" s="110">
        <f t="shared" si="2"/>
        <v>0.22840585721554246</v>
      </c>
      <c r="S19" s="111">
        <f t="shared" si="3"/>
        <v>1.6840317052056477</v>
      </c>
      <c r="T19" s="92">
        <f t="shared" si="5"/>
        <v>0.77159414278445759</v>
      </c>
      <c r="W19" s="13">
        <v>17.02</v>
      </c>
      <c r="X19" s="14">
        <v>75.2</v>
      </c>
      <c r="Y19" s="7">
        <f t="shared" si="8"/>
        <v>1.2799039999999999</v>
      </c>
      <c r="Z19" s="7">
        <f t="shared" si="6"/>
        <v>75.042931935728262</v>
      </c>
      <c r="AA19" s="92">
        <f t="shared" si="7"/>
        <v>1.0152237980348529</v>
      </c>
    </row>
    <row r="20" spans="12:27" x14ac:dyDescent="0.2">
      <c r="L20" s="13">
        <v>17.98</v>
      </c>
      <c r="M20" s="14">
        <v>72.8</v>
      </c>
      <c r="N20" s="7">
        <f t="shared" si="0"/>
        <v>1.3089439999999999</v>
      </c>
      <c r="O20" s="7">
        <f t="shared" si="4"/>
        <v>73.440951075472981</v>
      </c>
      <c r="P20" s="7"/>
      <c r="Q20" s="109">
        <f t="shared" si="1"/>
        <v>93.587692237877022</v>
      </c>
      <c r="R20" s="110">
        <f t="shared" si="2"/>
        <v>0.22211993629503968</v>
      </c>
      <c r="S20" s="111">
        <f t="shared" si="3"/>
        <v>1.6827067064370289</v>
      </c>
      <c r="T20" s="92">
        <f t="shared" si="5"/>
        <v>0.77788006370496021</v>
      </c>
      <c r="W20" s="13">
        <v>17.989999999999998</v>
      </c>
      <c r="X20" s="14">
        <v>71.5</v>
      </c>
      <c r="Y20" s="7">
        <f t="shared" si="8"/>
        <v>1.2862849999999999</v>
      </c>
      <c r="Z20" s="7">
        <f t="shared" si="6"/>
        <v>72.184697487753652</v>
      </c>
      <c r="AA20" s="92">
        <f t="shared" si="7"/>
        <v>1.0176158471878316</v>
      </c>
    </row>
    <row r="21" spans="12:27" x14ac:dyDescent="0.2">
      <c r="L21" s="13">
        <v>19.04</v>
      </c>
      <c r="M21" s="14">
        <v>69.400000000000006</v>
      </c>
      <c r="N21" s="7">
        <f t="shared" si="0"/>
        <v>1.3213759999999999</v>
      </c>
      <c r="O21" s="7">
        <f t="shared" si="4"/>
        <v>70.584840902977362</v>
      </c>
      <c r="P21" s="7"/>
      <c r="Q21" s="109">
        <f t="shared" si="1"/>
        <v>88.30407820479077</v>
      </c>
      <c r="R21" s="110">
        <f t="shared" si="2"/>
        <v>0.21407933347029898</v>
      </c>
      <c r="S21" s="111">
        <f t="shared" si="3"/>
        <v>1.6813096490192161</v>
      </c>
      <c r="T21" s="92">
        <f t="shared" si="5"/>
        <v>0.78592066652970094</v>
      </c>
      <c r="W21" s="13">
        <v>19.010000000000002</v>
      </c>
      <c r="X21" s="14">
        <v>68.2</v>
      </c>
      <c r="Y21" s="7">
        <f t="shared" si="8"/>
        <v>1.2964820000000001</v>
      </c>
      <c r="Z21" s="7">
        <f t="shared" si="6"/>
        <v>69.33780365076646</v>
      </c>
      <c r="AA21" s="92">
        <f t="shared" si="7"/>
        <v>1.0192011921492159</v>
      </c>
    </row>
    <row r="22" spans="12:27" x14ac:dyDescent="0.2">
      <c r="L22" s="13">
        <v>20</v>
      </c>
      <c r="M22" s="14">
        <v>66.5</v>
      </c>
      <c r="N22" s="7">
        <f t="shared" si="0"/>
        <v>1.33</v>
      </c>
      <c r="O22" s="7">
        <f t="shared" si="4"/>
        <v>68.00696820000087</v>
      </c>
      <c r="P22" s="7"/>
      <c r="Q22" s="109">
        <f t="shared" si="1"/>
        <v>84.005543406177992</v>
      </c>
      <c r="R22" s="110">
        <f t="shared" si="2"/>
        <v>0.20838557428926277</v>
      </c>
      <c r="S22" s="111">
        <f t="shared" si="3"/>
        <v>1.6801108681235599</v>
      </c>
      <c r="T22" s="92">
        <f t="shared" si="5"/>
        <v>0.79161442571073726</v>
      </c>
      <c r="W22" s="13">
        <v>19.97</v>
      </c>
      <c r="X22" s="14">
        <v>65.5</v>
      </c>
      <c r="Y22" s="7">
        <f t="shared" si="8"/>
        <v>1.3080349999999998</v>
      </c>
      <c r="Z22" s="7">
        <f t="shared" si="6"/>
        <v>66.674279475462214</v>
      </c>
      <c r="AA22" s="92">
        <f t="shared" si="7"/>
        <v>1.0167923641186973</v>
      </c>
    </row>
    <row r="23" spans="12:27" x14ac:dyDescent="0.2">
      <c r="L23" s="13">
        <v>21.04</v>
      </c>
      <c r="M23" s="14">
        <v>63.7</v>
      </c>
      <c r="N23" s="7">
        <f t="shared" si="0"/>
        <v>1.3402480000000001</v>
      </c>
      <c r="O23" s="7">
        <f t="shared" si="4"/>
        <v>65.131626245828443</v>
      </c>
      <c r="P23" s="7"/>
      <c r="Q23" s="109">
        <f t="shared" si="1"/>
        <v>79.794503618578958</v>
      </c>
      <c r="R23" s="110">
        <f t="shared" si="2"/>
        <v>0.20169940144638721</v>
      </c>
      <c r="S23" s="111">
        <f t="shared" si="3"/>
        <v>1.6788763561349012</v>
      </c>
      <c r="T23" s="92">
        <f t="shared" si="5"/>
        <v>0.79830059855361291</v>
      </c>
      <c r="W23" s="13">
        <v>20.97</v>
      </c>
      <c r="X23" s="14">
        <v>62.8</v>
      </c>
      <c r="Y23" s="7">
        <f t="shared" si="8"/>
        <v>1.316916</v>
      </c>
      <c r="Z23" s="7">
        <f t="shared" si="6"/>
        <v>63.860904817210574</v>
      </c>
      <c r="AA23" s="92">
        <f t="shared" si="7"/>
        <v>1.0177171512837571</v>
      </c>
    </row>
    <row r="24" spans="12:27" x14ac:dyDescent="0.2">
      <c r="L24" s="13">
        <v>21.98</v>
      </c>
      <c r="M24" s="14">
        <v>61.4</v>
      </c>
      <c r="N24" s="7">
        <f t="shared" si="0"/>
        <v>1.349572</v>
      </c>
      <c r="O24" s="7">
        <f t="shared" si="4"/>
        <v>62.463436480951145</v>
      </c>
      <c r="P24" s="7"/>
      <c r="Q24" s="109">
        <f t="shared" si="1"/>
        <v>76.333607331969418</v>
      </c>
      <c r="R24" s="110">
        <f t="shared" si="2"/>
        <v>0.19563607503866842</v>
      </c>
      <c r="S24" s="111">
        <f t="shared" si="3"/>
        <v>1.6778126891566878</v>
      </c>
      <c r="T24" s="92">
        <f t="shared" si="5"/>
        <v>0.80436392496133158</v>
      </c>
      <c r="W24" s="13">
        <v>22</v>
      </c>
      <c r="X24" s="14">
        <v>60.4</v>
      </c>
      <c r="Y24" s="7">
        <f t="shared" si="8"/>
        <v>1.3288</v>
      </c>
      <c r="Z24" s="7">
        <f t="shared" si="6"/>
        <v>60.948929637766149</v>
      </c>
      <c r="AA24" s="92">
        <f t="shared" si="7"/>
        <v>1.0156321493076461</v>
      </c>
    </row>
    <row r="25" spans="12:27" x14ac:dyDescent="0.2">
      <c r="L25" s="13">
        <v>23.02</v>
      </c>
      <c r="M25" s="14">
        <v>59.1</v>
      </c>
      <c r="N25" s="7">
        <f t="shared" si="0"/>
        <v>1.360482</v>
      </c>
      <c r="O25" s="7">
        <f t="shared" si="4"/>
        <v>59.522953387723078</v>
      </c>
      <c r="P25" s="7"/>
      <c r="Q25" s="109">
        <f t="shared" si="1"/>
        <v>72.836158054728315</v>
      </c>
      <c r="R25" s="110">
        <f t="shared" si="2"/>
        <v>0.18858982161589455</v>
      </c>
      <c r="S25" s="111">
        <f t="shared" si="3"/>
        <v>1.6766883584198458</v>
      </c>
      <c r="T25" s="92">
        <f t="shared" si="5"/>
        <v>0.81141017838410545</v>
      </c>
      <c r="W25" s="13">
        <v>23</v>
      </c>
      <c r="X25" s="14">
        <v>58.2</v>
      </c>
      <c r="Y25" s="7">
        <f t="shared" si="8"/>
        <v>1.3386000000000002</v>
      </c>
      <c r="Z25" s="7">
        <f t="shared" si="6"/>
        <v>58.205691266173879</v>
      </c>
      <c r="AA25" s="92">
        <f t="shared" si="7"/>
        <v>1.0163469296279692</v>
      </c>
    </row>
    <row r="26" spans="12:27" x14ac:dyDescent="0.2">
      <c r="L26" s="13">
        <v>24.02</v>
      </c>
      <c r="M26" s="14">
        <v>58.1</v>
      </c>
      <c r="N26" s="7">
        <f t="shared" si="0"/>
        <v>1.395562</v>
      </c>
      <c r="O26" s="7">
        <f t="shared" si="4"/>
        <v>56.853203167169681</v>
      </c>
      <c r="P26" s="7"/>
      <c r="Q26" s="109">
        <f t="shared" si="1"/>
        <v>69.760818012165814</v>
      </c>
      <c r="R26" s="110">
        <f t="shared" si="2"/>
        <v>0.16715426143845166</v>
      </c>
      <c r="S26" s="111">
        <f t="shared" si="3"/>
        <v>1.6756548486522229</v>
      </c>
      <c r="T26" s="92">
        <f t="shared" si="5"/>
        <v>0.83284573856154831</v>
      </c>
      <c r="W26" s="13">
        <v>23.98</v>
      </c>
      <c r="X26" s="14">
        <v>56.6</v>
      </c>
      <c r="Y26" s="7">
        <f t="shared" si="8"/>
        <v>1.3572679999999999</v>
      </c>
      <c r="Z26" s="7">
        <f t="shared" si="6"/>
        <v>55.735391738532279</v>
      </c>
      <c r="AA26" s="92">
        <f t="shared" si="7"/>
        <v>1.0282140299483964</v>
      </c>
    </row>
    <row r="27" spans="12:27" x14ac:dyDescent="0.2">
      <c r="L27" s="13">
        <v>25.03</v>
      </c>
      <c r="M27" s="14">
        <v>55.8</v>
      </c>
      <c r="N27" s="7">
        <f t="shared" si="0"/>
        <v>1.396674</v>
      </c>
      <c r="O27" s="7">
        <f t="shared" si="4"/>
        <v>54.489907119512168</v>
      </c>
      <c r="P27" s="7"/>
      <c r="Q27" s="109">
        <f t="shared" si="1"/>
        <v>66.905888764397758</v>
      </c>
      <c r="R27" s="110">
        <f t="shared" si="2"/>
        <v>0.16599269465660957</v>
      </c>
      <c r="S27" s="111">
        <f t="shared" si="3"/>
        <v>1.6746543957728759</v>
      </c>
      <c r="T27" s="92">
        <f t="shared" si="5"/>
        <v>0.83400730534339051</v>
      </c>
      <c r="W27" s="13">
        <v>24.98</v>
      </c>
      <c r="X27" s="14">
        <v>54.7</v>
      </c>
      <c r="Y27" s="7">
        <f t="shared" si="8"/>
        <v>1.3664060000000002</v>
      </c>
      <c r="Z27" s="7">
        <f t="shared" si="6"/>
        <v>53.589317776127835</v>
      </c>
      <c r="AA27" s="92">
        <f t="shared" si="7"/>
        <v>1.0221515420746101</v>
      </c>
    </row>
    <row r="28" spans="12:27" x14ac:dyDescent="0.2">
      <c r="L28" s="13">
        <v>25.97</v>
      </c>
      <c r="M28" s="14">
        <v>54.2</v>
      </c>
      <c r="N28" s="7">
        <f t="shared" si="0"/>
        <v>1.4075740000000001</v>
      </c>
      <c r="O28" s="7">
        <f t="shared" si="4"/>
        <v>52.731543305197079</v>
      </c>
      <c r="P28" s="7"/>
      <c r="Q28" s="109">
        <f t="shared" si="1"/>
        <v>64.449727163422807</v>
      </c>
      <c r="R28" s="110">
        <f t="shared" si="2"/>
        <v>0.1590344538997496</v>
      </c>
      <c r="S28" s="111">
        <f t="shared" si="3"/>
        <v>1.6737594144340904</v>
      </c>
      <c r="T28" s="92">
        <f t="shared" si="5"/>
        <v>0.84096554610025043</v>
      </c>
      <c r="W28" s="13">
        <v>26</v>
      </c>
      <c r="X28" s="14">
        <v>53</v>
      </c>
      <c r="Y28" s="7">
        <f t="shared" si="8"/>
        <v>1.3779999999999999</v>
      </c>
      <c r="Z28" s="7">
        <f t="shared" si="6"/>
        <v>51.91836468975557</v>
      </c>
      <c r="AA28" s="92">
        <f t="shared" si="7"/>
        <v>1.0214615384615386</v>
      </c>
    </row>
    <row r="29" spans="12:27" x14ac:dyDescent="0.2">
      <c r="L29" s="13">
        <v>27.02</v>
      </c>
      <c r="M29" s="14">
        <v>52.2</v>
      </c>
      <c r="N29" s="7">
        <f t="shared" si="0"/>
        <v>1.410444</v>
      </c>
      <c r="O29" s="7">
        <f t="shared" si="4"/>
        <v>51.361704998548134</v>
      </c>
      <c r="P29" s="7"/>
      <c r="Q29" s="109">
        <f t="shared" si="1"/>
        <v>61.909613666224779</v>
      </c>
      <c r="R29" s="110">
        <f t="shared" si="2"/>
        <v>0.15683531347122465</v>
      </c>
      <c r="S29" s="111">
        <f t="shared" si="3"/>
        <v>1.6727977612613936</v>
      </c>
      <c r="T29" s="92">
        <f t="shared" si="5"/>
        <v>0.8431646865287753</v>
      </c>
      <c r="W29" s="13">
        <v>27.01</v>
      </c>
      <c r="X29" s="14">
        <v>51.4</v>
      </c>
      <c r="Y29" s="7">
        <f t="shared" si="8"/>
        <v>1.388314</v>
      </c>
      <c r="Z29" s="7">
        <f t="shared" si="6"/>
        <v>50.821638999323703</v>
      </c>
      <c r="AA29" s="92">
        <f t="shared" si="7"/>
        <v>1.0159401979667424</v>
      </c>
    </row>
    <row r="30" spans="12:27" x14ac:dyDescent="0.2">
      <c r="L30" s="13">
        <v>28.04</v>
      </c>
      <c r="M30" s="14">
        <v>50.6</v>
      </c>
      <c r="N30" s="7">
        <f t="shared" si="0"/>
        <v>1.4188240000000001</v>
      </c>
      <c r="O30" s="7">
        <f t="shared" si="4"/>
        <v>50.584175823705095</v>
      </c>
      <c r="P30" s="7"/>
      <c r="Q30" s="109">
        <f t="shared" si="1"/>
        <v>59.625507103288058</v>
      </c>
      <c r="R30" s="110">
        <f t="shared" si="2"/>
        <v>0.15136990093272251</v>
      </c>
      <c r="S30" s="111">
        <f t="shared" si="3"/>
        <v>1.671899219176197</v>
      </c>
      <c r="T30" s="92">
        <f t="shared" si="5"/>
        <v>0.8486300990672776</v>
      </c>
      <c r="W30" s="13">
        <v>27.99</v>
      </c>
      <c r="X30" s="14">
        <v>50</v>
      </c>
      <c r="Y30" s="7">
        <f t="shared" si="8"/>
        <v>1.3995</v>
      </c>
      <c r="Z30" s="7">
        <f t="shared" si="6"/>
        <v>50.184873726132217</v>
      </c>
      <c r="AA30" s="92">
        <f t="shared" si="7"/>
        <v>1.0138077884958914</v>
      </c>
    </row>
    <row r="31" spans="12:27" x14ac:dyDescent="0.2">
      <c r="L31" s="13">
        <v>28.98</v>
      </c>
      <c r="M31" s="14">
        <v>49.2</v>
      </c>
      <c r="N31" s="7">
        <f t="shared" si="0"/>
        <v>1.425816</v>
      </c>
      <c r="O31" s="7">
        <f t="shared" si="4"/>
        <v>50.122516135823275</v>
      </c>
      <c r="P31" s="7"/>
      <c r="Q31" s="109">
        <f t="shared" si="1"/>
        <v>57.663907515883395</v>
      </c>
      <c r="R31" s="110">
        <f t="shared" si="2"/>
        <v>0.14677998561842218</v>
      </c>
      <c r="S31" s="111">
        <f t="shared" si="3"/>
        <v>1.6711000398103009</v>
      </c>
      <c r="T31" s="92">
        <f t="shared" si="5"/>
        <v>0.85322001438157768</v>
      </c>
      <c r="W31" s="13">
        <v>29.01</v>
      </c>
      <c r="X31" s="14">
        <v>48.5</v>
      </c>
      <c r="Y31" s="7">
        <f t="shared" si="8"/>
        <v>1.4069850000000002</v>
      </c>
      <c r="Z31" s="7">
        <f t="shared" si="6"/>
        <v>49.635180153804093</v>
      </c>
      <c r="AA31" s="92">
        <f t="shared" si="7"/>
        <v>1.0133839379950744</v>
      </c>
    </row>
    <row r="32" spans="12:27" x14ac:dyDescent="0.2">
      <c r="L32" s="13">
        <v>30.03</v>
      </c>
      <c r="M32" s="14">
        <v>47.8</v>
      </c>
      <c r="N32" s="7">
        <f t="shared" si="0"/>
        <v>1.4354339999999999</v>
      </c>
      <c r="O32" s="7">
        <f t="shared" si="4"/>
        <v>49.331073895790155</v>
      </c>
      <c r="P32" s="7"/>
      <c r="Q32" s="109">
        <f t="shared" si="1"/>
        <v>55.61897635263724</v>
      </c>
      <c r="R32" s="110">
        <f t="shared" si="2"/>
        <v>0.14058109058072402</v>
      </c>
      <c r="S32" s="111">
        <f t="shared" si="3"/>
        <v>1.6702378598696965</v>
      </c>
      <c r="T32" s="92">
        <f t="shared" si="5"/>
        <v>0.8594189094192759</v>
      </c>
      <c r="W32" s="13">
        <v>29.98</v>
      </c>
      <c r="X32" s="14">
        <v>47.3</v>
      </c>
      <c r="Y32" s="7">
        <f t="shared" si="8"/>
        <v>1.4180539999999999</v>
      </c>
      <c r="Z32" s="7">
        <f t="shared" si="6"/>
        <v>48.620620770056256</v>
      </c>
      <c r="AA32" s="92">
        <f t="shared" si="7"/>
        <v>1.0122562328373954</v>
      </c>
    </row>
    <row r="33" spans="1:27" x14ac:dyDescent="0.2">
      <c r="L33" s="13">
        <v>31.04</v>
      </c>
      <c r="M33" s="14">
        <v>46.5</v>
      </c>
      <c r="N33" s="7">
        <f t="shared" si="0"/>
        <v>1.44336</v>
      </c>
      <c r="O33" s="7">
        <f t="shared" si="4"/>
        <v>47.333750271958138</v>
      </c>
      <c r="P33" s="7"/>
      <c r="Q33" s="109">
        <f t="shared" si="1"/>
        <v>53.783405612273434</v>
      </c>
      <c r="R33" s="110">
        <f t="shared" si="2"/>
        <v>0.13542105653888442</v>
      </c>
      <c r="S33" s="111">
        <f t="shared" si="3"/>
        <v>1.6694369102049673</v>
      </c>
      <c r="T33" s="92">
        <f t="shared" si="5"/>
        <v>0.86457894346111563</v>
      </c>
      <c r="W33" s="13">
        <v>30.99</v>
      </c>
      <c r="X33" s="14">
        <v>46.1</v>
      </c>
      <c r="Y33" s="7">
        <f t="shared" si="8"/>
        <v>1.428639</v>
      </c>
      <c r="Z33" s="7">
        <f t="shared" si="6"/>
        <v>46.035940630880894</v>
      </c>
      <c r="AA33" s="92">
        <f t="shared" si="7"/>
        <v>1.0103042126107435</v>
      </c>
    </row>
    <row r="34" spans="1:27" x14ac:dyDescent="0.2">
      <c r="L34" s="15">
        <v>31.8</v>
      </c>
      <c r="M34" s="16">
        <v>45.6</v>
      </c>
      <c r="N34" s="7">
        <f t="shared" si="0"/>
        <v>1.4500800000000003</v>
      </c>
      <c r="O34" s="7">
        <f t="shared" si="4"/>
        <v>44.160296689684742</v>
      </c>
      <c r="P34" s="7"/>
      <c r="Q34" s="109">
        <f t="shared" si="1"/>
        <v>52.479605640166248</v>
      </c>
      <c r="R34" s="110">
        <f t="shared" si="2"/>
        <v>0.13109103157781377</v>
      </c>
      <c r="S34" s="111">
        <f t="shared" si="3"/>
        <v>1.6688514593572867</v>
      </c>
      <c r="T34" s="92">
        <f t="shared" si="5"/>
        <v>0.86890896842218635</v>
      </c>
      <c r="W34" s="15">
        <v>31.3</v>
      </c>
      <c r="X34" s="16">
        <v>45.7</v>
      </c>
      <c r="Y34" s="7">
        <f t="shared" si="8"/>
        <v>1.4304100000000002</v>
      </c>
      <c r="Z34" s="7">
        <f t="shared" si="6"/>
        <v>44.70861474845983</v>
      </c>
      <c r="AA34" s="92">
        <f t="shared" si="7"/>
        <v>1.0137513020742306</v>
      </c>
    </row>
    <row r="38" spans="1:27" x14ac:dyDescent="0.2">
      <c r="L38" s="11" t="s">
        <v>9</v>
      </c>
      <c r="W38" s="11"/>
    </row>
    <row r="39" spans="1:27" x14ac:dyDescent="0.2">
      <c r="L39" s="7" t="s">
        <v>62</v>
      </c>
      <c r="W39" s="7"/>
    </row>
    <row r="40" spans="1:27" x14ac:dyDescent="0.2">
      <c r="L40" s="7" t="s">
        <v>61</v>
      </c>
      <c r="W40" s="7"/>
    </row>
    <row r="41" spans="1:27" x14ac:dyDescent="0.2">
      <c r="B41" s="17" t="s">
        <v>38</v>
      </c>
      <c r="C41" s="18" t="s">
        <v>63</v>
      </c>
      <c r="L41" s="6" t="s">
        <v>147</v>
      </c>
    </row>
    <row r="42" spans="1:27" x14ac:dyDescent="0.2">
      <c r="A42" s="95" t="s">
        <v>145</v>
      </c>
      <c r="B42" s="116">
        <v>23.9</v>
      </c>
      <c r="C42" s="22">
        <f xml:space="preserve"> -0.000014363659*B42^6 + 0.00167333112*B42^5 - 0.0772490725*B42^4 + 1.77799718*B42^3 - 20.7188537*B42^2 + 101.5283*B42^1 + 25.4712002</f>
        <v>57.159683083670529</v>
      </c>
      <c r="E42" s="7"/>
    </row>
  </sheetData>
  <sheetProtection sheet="1" objects="1" scenarios="1" selectLockedCells="1" selectUnlockedCells="1"/>
  <mergeCells count="2">
    <mergeCell ref="Q1:T1"/>
    <mergeCell ref="W1:Z1"/>
  </mergeCells>
  <phoneticPr fontId="0" type="noConversion"/>
  <pageMargins left="0.5" right="0.5" top="0.5" bottom="0.5" header="0.5" footer="0.5"/>
  <pageSetup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Y53"/>
  <sheetViews>
    <sheetView workbookViewId="0">
      <selection activeCell="A145" sqref="A145:E145"/>
    </sheetView>
  </sheetViews>
  <sheetFormatPr defaultRowHeight="12.75" x14ac:dyDescent="0.2"/>
  <cols>
    <col min="1" max="1" width="7.5703125" style="6" customWidth="1"/>
    <col min="2" max="3" width="13.7109375" style="6" customWidth="1"/>
    <col min="4" max="10" width="9.140625" style="6"/>
    <col min="11" max="11" width="5.140625" style="6" customWidth="1"/>
    <col min="12" max="12" width="11.7109375" style="6" customWidth="1"/>
    <col min="13" max="13" width="12.5703125" style="6" customWidth="1"/>
    <col min="14" max="14" width="11.7109375" style="6" customWidth="1"/>
    <col min="15" max="15" width="13.28515625" style="6" customWidth="1"/>
    <col min="16" max="16" width="0" style="6" hidden="1" customWidth="1"/>
    <col min="17" max="18" width="6.7109375" style="6" customWidth="1"/>
    <col min="19" max="19" width="12.140625" style="6" customWidth="1"/>
    <col min="20" max="20" width="12.85546875" style="6" customWidth="1"/>
    <col min="21" max="21" width="11.140625" style="6" customWidth="1"/>
    <col min="22" max="22" width="13.140625" style="6" customWidth="1"/>
    <col min="23" max="23" width="10.140625" style="6" customWidth="1"/>
    <col min="24" max="16384" width="9.140625" style="6"/>
  </cols>
  <sheetData>
    <row r="1" spans="12:24" x14ac:dyDescent="0.2">
      <c r="L1" s="209" t="s">
        <v>158</v>
      </c>
      <c r="M1" s="209"/>
      <c r="N1" s="209"/>
      <c r="O1" s="209"/>
      <c r="S1" s="209" t="s">
        <v>159</v>
      </c>
      <c r="T1" s="209"/>
      <c r="U1" s="209"/>
      <c r="V1" s="209"/>
      <c r="W1" s="209"/>
    </row>
    <row r="3" spans="12:24" x14ac:dyDescent="0.2">
      <c r="L3" s="17" t="s">
        <v>38</v>
      </c>
      <c r="M3" s="18" t="s">
        <v>37</v>
      </c>
      <c r="N3" s="18" t="s">
        <v>40</v>
      </c>
      <c r="O3" s="6" t="s">
        <v>63</v>
      </c>
      <c r="P3" s="6" t="s">
        <v>42</v>
      </c>
      <c r="S3" s="17" t="s">
        <v>38</v>
      </c>
      <c r="T3" s="18" t="s">
        <v>37</v>
      </c>
      <c r="U3" s="18" t="s">
        <v>40</v>
      </c>
      <c r="V3" s="6" t="s">
        <v>63</v>
      </c>
      <c r="W3" s="6" t="s">
        <v>133</v>
      </c>
      <c r="X3" s="6" t="s">
        <v>160</v>
      </c>
    </row>
    <row r="4" spans="12:24" x14ac:dyDescent="0.2">
      <c r="L4" s="13">
        <v>7.49</v>
      </c>
      <c r="M4" s="14">
        <v>74.3</v>
      </c>
      <c r="N4" s="7">
        <f t="shared" ref="N4:N31" si="0">L4*M4/1000</f>
        <v>0.55650699999999997</v>
      </c>
      <c r="O4" s="22">
        <f>508.856146*L4^-0.961422</f>
        <v>73.425847200001755</v>
      </c>
      <c r="P4" s="19">
        <f t="shared" ref="P4:P31" si="1">(O4-M4)/O4</f>
        <v>-1.1905246358508771E-2</v>
      </c>
      <c r="S4" s="13">
        <v>7.47</v>
      </c>
      <c r="T4" s="14">
        <v>64.8</v>
      </c>
      <c r="U4" s="7">
        <f t="shared" ref="U4:U31" si="2">S4*T4/1000</f>
        <v>0.48405599999999999</v>
      </c>
      <c r="V4" s="22">
        <f>508.856146*S4^-0.961422</f>
        <v>73.614842066216497</v>
      </c>
      <c r="W4" s="92">
        <f t="shared" ref="W4:W31" si="3">(M4-T4)/M4</f>
        <v>0.12786002691790041</v>
      </c>
    </row>
    <row r="5" spans="12:24" x14ac:dyDescent="0.2">
      <c r="L5" s="13">
        <v>7.99</v>
      </c>
      <c r="M5" s="14">
        <v>69.7</v>
      </c>
      <c r="N5" s="7">
        <f t="shared" si="0"/>
        <v>0.55690300000000004</v>
      </c>
      <c r="O5" s="22">
        <f t="shared" ref="O5:O31" si="4">508.856146*L5^-0.961422</f>
        <v>69.002796939660541</v>
      </c>
      <c r="P5" s="19">
        <f t="shared" si="1"/>
        <v>-1.0103982610286511E-2</v>
      </c>
      <c r="S5" s="13">
        <v>8.01</v>
      </c>
      <c r="T5" s="14">
        <v>60.5</v>
      </c>
      <c r="U5" s="7">
        <f t="shared" si="2"/>
        <v>0.48460499999999995</v>
      </c>
      <c r="V5" s="22">
        <f t="shared" ref="V5:V31" si="5">508.856146*S5^-0.961422</f>
        <v>68.837143993517316</v>
      </c>
      <c r="W5" s="92">
        <f t="shared" si="3"/>
        <v>0.1319942611190818</v>
      </c>
    </row>
    <row r="6" spans="12:24" x14ac:dyDescent="0.2">
      <c r="L6" s="13">
        <v>8.48</v>
      </c>
      <c r="M6" s="14">
        <v>65.8</v>
      </c>
      <c r="N6" s="7">
        <f t="shared" si="0"/>
        <v>0.55798400000000004</v>
      </c>
      <c r="O6" s="22">
        <f t="shared" si="4"/>
        <v>65.165064169741811</v>
      </c>
      <c r="P6" s="19">
        <f t="shared" si="1"/>
        <v>-9.743500422316885E-3</v>
      </c>
      <c r="S6" s="13">
        <v>8.51</v>
      </c>
      <c r="T6" s="14">
        <v>57.1</v>
      </c>
      <c r="U6" s="7">
        <f t="shared" si="2"/>
        <v>0.48592099999999999</v>
      </c>
      <c r="V6" s="22">
        <f t="shared" si="5"/>
        <v>64.944187348111598</v>
      </c>
      <c r="W6" s="92">
        <f t="shared" si="3"/>
        <v>0.13221884498480238</v>
      </c>
    </row>
    <row r="7" spans="12:24" x14ac:dyDescent="0.2">
      <c r="L7" s="13">
        <v>8.98</v>
      </c>
      <c r="M7" s="14">
        <v>62.3</v>
      </c>
      <c r="N7" s="7">
        <f t="shared" si="0"/>
        <v>0.5594539999999999</v>
      </c>
      <c r="O7" s="22">
        <f t="shared" si="4"/>
        <v>61.672873267482807</v>
      </c>
      <c r="P7" s="19">
        <f t="shared" si="1"/>
        <v>-1.0168599244553843E-2</v>
      </c>
      <c r="S7" s="13">
        <v>8.99</v>
      </c>
      <c r="T7" s="14">
        <v>54.1</v>
      </c>
      <c r="U7" s="7">
        <f t="shared" si="2"/>
        <v>0.48635900000000004</v>
      </c>
      <c r="V7" s="22">
        <f t="shared" si="5"/>
        <v>61.606916727036548</v>
      </c>
      <c r="W7" s="92">
        <f t="shared" si="3"/>
        <v>0.13162118780096302</v>
      </c>
    </row>
    <row r="8" spans="12:24" x14ac:dyDescent="0.2">
      <c r="L8" s="13">
        <v>9.4960000000000004</v>
      </c>
      <c r="M8" s="14">
        <v>58.8</v>
      </c>
      <c r="N8" s="7">
        <f t="shared" si="0"/>
        <v>0.55836479999999999</v>
      </c>
      <c r="O8" s="22">
        <f t="shared" si="4"/>
        <v>58.4474924770551</v>
      </c>
      <c r="P8" s="19">
        <f t="shared" si="1"/>
        <v>-6.0311829987108887E-3</v>
      </c>
      <c r="S8" s="13">
        <v>9.49</v>
      </c>
      <c r="T8" s="14">
        <v>51.3</v>
      </c>
      <c r="U8" s="7">
        <f t="shared" si="2"/>
        <v>0.48683699999999996</v>
      </c>
      <c r="V8" s="22">
        <f t="shared" si="5"/>
        <v>58.483019570820197</v>
      </c>
      <c r="W8" s="92">
        <f t="shared" si="3"/>
        <v>0.12755102040816327</v>
      </c>
    </row>
    <row r="9" spans="12:24" x14ac:dyDescent="0.2">
      <c r="L9" s="13">
        <v>9.98</v>
      </c>
      <c r="M9" s="14">
        <v>55.9</v>
      </c>
      <c r="N9" s="7">
        <f t="shared" si="0"/>
        <v>0.5578820000000001</v>
      </c>
      <c r="O9" s="22">
        <f t="shared" si="4"/>
        <v>55.719722013841945</v>
      </c>
      <c r="P9" s="19">
        <f t="shared" si="1"/>
        <v>-3.2354430288304096E-3</v>
      </c>
      <c r="S9" s="13">
        <v>9.9700000000000006</v>
      </c>
      <c r="T9" s="14">
        <v>48.6</v>
      </c>
      <c r="U9" s="7">
        <f t="shared" si="2"/>
        <v>0.48454200000000003</v>
      </c>
      <c r="V9" s="22">
        <f t="shared" si="5"/>
        <v>55.773452335319874</v>
      </c>
      <c r="W9" s="92">
        <f t="shared" si="3"/>
        <v>0.13059033989266541</v>
      </c>
    </row>
    <row r="10" spans="12:24" x14ac:dyDescent="0.2">
      <c r="L10" s="13">
        <v>11.015000000000001</v>
      </c>
      <c r="M10" s="14">
        <v>50.5</v>
      </c>
      <c r="N10" s="7">
        <f t="shared" si="0"/>
        <v>0.55625750000000007</v>
      </c>
      <c r="O10" s="22">
        <f t="shared" si="4"/>
        <v>50.676685354394984</v>
      </c>
      <c r="P10" s="19">
        <f t="shared" si="1"/>
        <v>3.4865215268002994E-3</v>
      </c>
      <c r="S10" s="13">
        <v>11.02</v>
      </c>
      <c r="T10" s="14">
        <v>44.1</v>
      </c>
      <c r="U10" s="7">
        <f t="shared" si="2"/>
        <v>0.48598199999999997</v>
      </c>
      <c r="V10" s="22">
        <f t="shared" si="5"/>
        <v>50.654579135403644</v>
      </c>
      <c r="W10" s="92">
        <f t="shared" si="3"/>
        <v>0.12673267326732671</v>
      </c>
    </row>
    <row r="11" spans="12:24" x14ac:dyDescent="0.2">
      <c r="L11" s="13">
        <v>11.99</v>
      </c>
      <c r="M11" s="14">
        <v>46.4</v>
      </c>
      <c r="N11" s="7">
        <f t="shared" si="0"/>
        <v>0.55633600000000005</v>
      </c>
      <c r="O11" s="22">
        <f t="shared" si="4"/>
        <v>46.708350195817708</v>
      </c>
      <c r="P11" s="19">
        <f t="shared" si="1"/>
        <v>6.6016075182488325E-3</v>
      </c>
      <c r="S11" s="13">
        <v>12</v>
      </c>
      <c r="T11" s="14">
        <v>40.299999999999997</v>
      </c>
      <c r="U11" s="7">
        <f t="shared" si="2"/>
        <v>0.48359999999999997</v>
      </c>
      <c r="V11" s="22">
        <f t="shared" si="5"/>
        <v>46.670927564564522</v>
      </c>
      <c r="W11" s="92">
        <f t="shared" si="3"/>
        <v>0.13146551724137934</v>
      </c>
    </row>
    <row r="12" spans="12:24" x14ac:dyDescent="0.2">
      <c r="L12" s="13">
        <v>12.99</v>
      </c>
      <c r="M12" s="14">
        <v>42.9</v>
      </c>
      <c r="N12" s="7">
        <f t="shared" si="0"/>
        <v>0.55727099999999996</v>
      </c>
      <c r="O12" s="22">
        <f t="shared" si="4"/>
        <v>43.246073996323695</v>
      </c>
      <c r="P12" s="19">
        <f t="shared" si="1"/>
        <v>8.0024373161160355E-3</v>
      </c>
      <c r="S12" s="13">
        <v>12.98</v>
      </c>
      <c r="T12" s="14">
        <v>37.299999999999997</v>
      </c>
      <c r="U12" s="7">
        <f t="shared" si="2"/>
        <v>0.48415399999999997</v>
      </c>
      <c r="V12" s="22">
        <f t="shared" si="5"/>
        <v>43.278105667548921</v>
      </c>
      <c r="W12" s="92">
        <f t="shared" si="3"/>
        <v>0.13053613053613058</v>
      </c>
    </row>
    <row r="13" spans="12:24" x14ac:dyDescent="0.2">
      <c r="L13" s="13">
        <v>14.01</v>
      </c>
      <c r="M13" s="14">
        <v>39.799999999999997</v>
      </c>
      <c r="N13" s="7">
        <f t="shared" si="0"/>
        <v>0.55759799999999993</v>
      </c>
      <c r="O13" s="22">
        <f t="shared" si="4"/>
        <v>40.214639458665509</v>
      </c>
      <c r="P13" s="19">
        <f t="shared" si="1"/>
        <v>1.0310659606725999E-2</v>
      </c>
      <c r="S13" s="13">
        <v>14.01</v>
      </c>
      <c r="T13" s="14">
        <v>34.6</v>
      </c>
      <c r="U13" s="7">
        <f t="shared" si="2"/>
        <v>0.48474600000000001</v>
      </c>
      <c r="V13" s="22">
        <f t="shared" si="5"/>
        <v>40.214639458665509</v>
      </c>
      <c r="W13" s="92">
        <f t="shared" si="3"/>
        <v>0.13065326633165819</v>
      </c>
    </row>
    <row r="14" spans="12:24" x14ac:dyDescent="0.2">
      <c r="L14" s="13">
        <v>15</v>
      </c>
      <c r="M14" s="14">
        <v>37.200000000000003</v>
      </c>
      <c r="N14" s="7">
        <f t="shared" si="0"/>
        <v>0.55800000000000005</v>
      </c>
      <c r="O14" s="22">
        <f t="shared" si="4"/>
        <v>37.659540253574292</v>
      </c>
      <c r="P14" s="19">
        <f t="shared" si="1"/>
        <v>1.2202492395819248E-2</v>
      </c>
      <c r="S14" s="13">
        <v>15</v>
      </c>
      <c r="T14" s="14">
        <v>32.299999999999997</v>
      </c>
      <c r="U14" s="7">
        <f t="shared" si="2"/>
        <v>0.48449999999999993</v>
      </c>
      <c r="V14" s="22">
        <f t="shared" si="5"/>
        <v>37.659540253574292</v>
      </c>
      <c r="W14" s="92">
        <f t="shared" si="3"/>
        <v>0.13172043010752701</v>
      </c>
    </row>
    <row r="15" spans="12:24" x14ac:dyDescent="0.2">
      <c r="L15" s="13">
        <v>16.02</v>
      </c>
      <c r="M15" s="14">
        <v>35</v>
      </c>
      <c r="N15" s="7">
        <f t="shared" si="0"/>
        <v>0.56069999999999998</v>
      </c>
      <c r="O15" s="22">
        <f t="shared" si="4"/>
        <v>35.351348342246112</v>
      </c>
      <c r="P15" s="19">
        <f t="shared" si="1"/>
        <v>9.9387536465260756E-3</v>
      </c>
      <c r="S15" s="13">
        <v>16.010000000000002</v>
      </c>
      <c r="T15" s="14">
        <v>30.4</v>
      </c>
      <c r="U15" s="7">
        <f t="shared" si="2"/>
        <v>0.48670400000000003</v>
      </c>
      <c r="V15" s="22">
        <f t="shared" si="5"/>
        <v>35.372577045949427</v>
      </c>
      <c r="W15" s="92">
        <f t="shared" si="3"/>
        <v>0.13142857142857148</v>
      </c>
    </row>
    <row r="16" spans="12:24" x14ac:dyDescent="0.2">
      <c r="L16" s="13">
        <v>17.006</v>
      </c>
      <c r="M16" s="14">
        <v>33</v>
      </c>
      <c r="N16" s="7">
        <f t="shared" si="0"/>
        <v>0.56119799999999997</v>
      </c>
      <c r="O16" s="22">
        <f t="shared" si="4"/>
        <v>33.378515702270185</v>
      </c>
      <c r="P16" s="19">
        <f t="shared" si="1"/>
        <v>1.134009989079416E-2</v>
      </c>
      <c r="S16" s="13">
        <v>17.03</v>
      </c>
      <c r="T16" s="14">
        <v>28.7</v>
      </c>
      <c r="U16" s="7">
        <f t="shared" si="2"/>
        <v>0.488761</v>
      </c>
      <c r="V16" s="22">
        <f t="shared" si="5"/>
        <v>33.33328956661412</v>
      </c>
      <c r="W16" s="92">
        <f t="shared" si="3"/>
        <v>0.13030303030303034</v>
      </c>
    </row>
    <row r="17" spans="12:23" x14ac:dyDescent="0.2">
      <c r="L17" s="13">
        <v>17.984999999999999</v>
      </c>
      <c r="M17" s="14">
        <v>31.3</v>
      </c>
      <c r="N17" s="7">
        <f t="shared" si="0"/>
        <v>0.56293049999999989</v>
      </c>
      <c r="O17" s="22">
        <f t="shared" si="4"/>
        <v>31.629805199515712</v>
      </c>
      <c r="P17" s="19">
        <f t="shared" si="1"/>
        <v>1.0427038593356896E-2</v>
      </c>
      <c r="S17" s="13">
        <v>18.03</v>
      </c>
      <c r="T17" s="14">
        <v>27.1</v>
      </c>
      <c r="U17" s="7">
        <f t="shared" si="2"/>
        <v>0.48861300000000008</v>
      </c>
      <c r="V17" s="22">
        <f t="shared" si="5"/>
        <v>31.553904061842864</v>
      </c>
      <c r="W17" s="92">
        <f t="shared" si="3"/>
        <v>0.13418530351437696</v>
      </c>
    </row>
    <row r="18" spans="12:23" x14ac:dyDescent="0.2">
      <c r="L18" s="13">
        <v>19</v>
      </c>
      <c r="M18" s="14">
        <v>29.7</v>
      </c>
      <c r="N18" s="7">
        <f t="shared" si="0"/>
        <v>0.56429999999999991</v>
      </c>
      <c r="O18" s="22">
        <f t="shared" si="4"/>
        <v>30.003587071142356</v>
      </c>
      <c r="P18" s="19">
        <f t="shared" si="1"/>
        <v>1.0118359195602592E-2</v>
      </c>
      <c r="S18" s="13">
        <v>19.02</v>
      </c>
      <c r="T18" s="14">
        <v>25.8</v>
      </c>
      <c r="U18" s="7">
        <f t="shared" si="2"/>
        <v>0.49071599999999999</v>
      </c>
      <c r="V18" s="22">
        <f t="shared" si="5"/>
        <v>29.973254059592616</v>
      </c>
      <c r="W18" s="92">
        <f t="shared" si="3"/>
        <v>0.13131313131313127</v>
      </c>
    </row>
    <row r="19" spans="12:23" x14ac:dyDescent="0.2">
      <c r="L19" s="13">
        <v>20</v>
      </c>
      <c r="M19" s="14">
        <v>28.3</v>
      </c>
      <c r="N19" s="7">
        <f t="shared" si="0"/>
        <v>0.56599999999999995</v>
      </c>
      <c r="O19" s="22">
        <f t="shared" si="4"/>
        <v>28.559865894103801</v>
      </c>
      <c r="P19" s="19">
        <f t="shared" si="1"/>
        <v>9.0989885970525434E-3</v>
      </c>
      <c r="S19" s="13">
        <v>19.97</v>
      </c>
      <c r="T19" s="14">
        <v>24.7</v>
      </c>
      <c r="U19" s="7">
        <f t="shared" si="2"/>
        <v>0.49325899999999995</v>
      </c>
      <c r="V19" s="22">
        <f t="shared" si="5"/>
        <v>28.601113698033473</v>
      </c>
      <c r="W19" s="92">
        <f t="shared" si="3"/>
        <v>0.12720848056537107</v>
      </c>
    </row>
    <row r="20" spans="12:23" x14ac:dyDescent="0.2">
      <c r="L20" s="13">
        <v>21.02</v>
      </c>
      <c r="M20" s="14">
        <v>27.1</v>
      </c>
      <c r="N20" s="7">
        <f t="shared" si="0"/>
        <v>0.56964200000000009</v>
      </c>
      <c r="O20" s="22">
        <f t="shared" si="4"/>
        <v>27.226187895762923</v>
      </c>
      <c r="P20" s="19">
        <f t="shared" si="1"/>
        <v>4.6347985346328795E-3</v>
      </c>
      <c r="S20" s="13">
        <v>20.97</v>
      </c>
      <c r="T20" s="14">
        <v>23.5</v>
      </c>
      <c r="U20" s="7">
        <f t="shared" si="2"/>
        <v>0.49279499999999998</v>
      </c>
      <c r="V20" s="22">
        <f t="shared" si="5"/>
        <v>27.288597655263349</v>
      </c>
      <c r="W20" s="92">
        <f t="shared" si="3"/>
        <v>0.13284132841328417</v>
      </c>
    </row>
    <row r="21" spans="12:23" x14ac:dyDescent="0.2">
      <c r="L21" s="13">
        <v>21.98</v>
      </c>
      <c r="M21" s="14">
        <v>25.9</v>
      </c>
      <c r="N21" s="7">
        <f t="shared" si="0"/>
        <v>0.56928199999999995</v>
      </c>
      <c r="O21" s="22">
        <f t="shared" si="4"/>
        <v>26.081951343447745</v>
      </c>
      <c r="P21" s="19">
        <f t="shared" si="1"/>
        <v>6.9761399770978368E-3</v>
      </c>
      <c r="S21" s="13">
        <v>22.01</v>
      </c>
      <c r="T21" s="14">
        <v>22.5</v>
      </c>
      <c r="U21" s="7">
        <f t="shared" si="2"/>
        <v>0.49522500000000003</v>
      </c>
      <c r="V21" s="22">
        <f t="shared" si="5"/>
        <v>26.047771759519783</v>
      </c>
      <c r="W21" s="92">
        <f t="shared" si="3"/>
        <v>0.13127413127413123</v>
      </c>
    </row>
    <row r="22" spans="12:23" x14ac:dyDescent="0.2">
      <c r="L22" s="13">
        <v>22.98</v>
      </c>
      <c r="M22" s="14">
        <v>24.9</v>
      </c>
      <c r="N22" s="7">
        <f t="shared" si="0"/>
        <v>0.57220199999999999</v>
      </c>
      <c r="O22" s="22">
        <f t="shared" si="4"/>
        <v>24.98982191426148</v>
      </c>
      <c r="P22" s="19">
        <f t="shared" si="1"/>
        <v>3.5943399104505316E-3</v>
      </c>
      <c r="S22" s="13">
        <v>22.96</v>
      </c>
      <c r="T22" s="14">
        <v>21.6</v>
      </c>
      <c r="U22" s="7">
        <f t="shared" si="2"/>
        <v>0.49593600000000004</v>
      </c>
      <c r="V22" s="22">
        <f t="shared" si="5"/>
        <v>25.010749929068869</v>
      </c>
      <c r="W22" s="92">
        <f t="shared" si="3"/>
        <v>0.13253012048192761</v>
      </c>
    </row>
    <row r="23" spans="12:23" x14ac:dyDescent="0.2">
      <c r="L23" s="13">
        <v>23.99</v>
      </c>
      <c r="M23" s="14">
        <v>23.9</v>
      </c>
      <c r="N23" s="7">
        <f t="shared" si="0"/>
        <v>0.5733609999999999</v>
      </c>
      <c r="O23" s="22">
        <f t="shared" si="4"/>
        <v>23.977482531433534</v>
      </c>
      <c r="P23" s="19">
        <f t="shared" si="1"/>
        <v>3.2314706655279047E-3</v>
      </c>
      <c r="S23" s="13">
        <v>23.99</v>
      </c>
      <c r="T23" s="14">
        <v>20.7</v>
      </c>
      <c r="U23" s="7">
        <f t="shared" si="2"/>
        <v>0.49659299999999995</v>
      </c>
      <c r="V23" s="22">
        <f t="shared" si="5"/>
        <v>23.977482531433534</v>
      </c>
      <c r="W23" s="92">
        <f t="shared" si="3"/>
        <v>0.13389121338912133</v>
      </c>
    </row>
    <row r="24" spans="12:23" x14ac:dyDescent="0.2">
      <c r="L24" s="13">
        <v>24.98</v>
      </c>
      <c r="M24" s="14">
        <v>23.1</v>
      </c>
      <c r="N24" s="7">
        <f t="shared" si="0"/>
        <v>0.57703800000000005</v>
      </c>
      <c r="O24" s="22">
        <f t="shared" si="4"/>
        <v>23.063165272836979</v>
      </c>
      <c r="P24" s="19">
        <f t="shared" si="1"/>
        <v>-1.5971236700282746E-3</v>
      </c>
      <c r="S24" s="13">
        <v>25.01</v>
      </c>
      <c r="T24" s="14">
        <v>20.100000000000001</v>
      </c>
      <c r="U24" s="7">
        <f t="shared" si="2"/>
        <v>0.50270100000000006</v>
      </c>
      <c r="V24" s="22">
        <f t="shared" si="5"/>
        <v>23.036567174794243</v>
      </c>
      <c r="W24" s="92">
        <f t="shared" si="3"/>
        <v>0.12987012987012986</v>
      </c>
    </row>
    <row r="25" spans="12:23" x14ac:dyDescent="0.2">
      <c r="L25" s="13">
        <v>25.99</v>
      </c>
      <c r="M25" s="14">
        <v>22.2</v>
      </c>
      <c r="N25" s="7">
        <f t="shared" si="0"/>
        <v>0.57697799999999999</v>
      </c>
      <c r="O25" s="22">
        <f t="shared" si="4"/>
        <v>22.200826431390151</v>
      </c>
      <c r="P25" s="19">
        <f t="shared" si="1"/>
        <v>3.7225253424959522E-5</v>
      </c>
      <c r="S25" s="13">
        <v>26.02</v>
      </c>
      <c r="T25" s="14">
        <v>19.3</v>
      </c>
      <c r="U25" s="7">
        <f t="shared" si="2"/>
        <v>0.50218600000000002</v>
      </c>
      <c r="V25" s="22">
        <f t="shared" si="5"/>
        <v>22.176216702921213</v>
      </c>
      <c r="W25" s="92">
        <f t="shared" si="3"/>
        <v>0.13063063063063057</v>
      </c>
    </row>
    <row r="26" spans="12:23" x14ac:dyDescent="0.2">
      <c r="L26" s="13">
        <v>27.01</v>
      </c>
      <c r="M26" s="14">
        <v>21.5</v>
      </c>
      <c r="N26" s="7">
        <f t="shared" si="0"/>
        <v>0.58071499999999998</v>
      </c>
      <c r="O26" s="22">
        <f t="shared" si="4"/>
        <v>21.39418739539547</v>
      </c>
      <c r="P26" s="19">
        <f t="shared" si="1"/>
        <v>-4.9458576130497756E-3</v>
      </c>
      <c r="S26" s="13">
        <v>26.97</v>
      </c>
      <c r="T26" s="14">
        <v>18.600000000000001</v>
      </c>
      <c r="U26" s="7">
        <f t="shared" si="2"/>
        <v>0.50164200000000003</v>
      </c>
      <c r="V26" s="22">
        <f t="shared" si="5"/>
        <v>21.42469277811821</v>
      </c>
      <c r="W26" s="92">
        <f t="shared" si="3"/>
        <v>0.13488372093023249</v>
      </c>
    </row>
    <row r="27" spans="12:23" x14ac:dyDescent="0.2">
      <c r="L27" s="13">
        <v>28.01</v>
      </c>
      <c r="M27" s="14">
        <v>20.8</v>
      </c>
      <c r="N27" s="7">
        <f t="shared" si="0"/>
        <v>0.58260800000000001</v>
      </c>
      <c r="O27" s="22">
        <f t="shared" si="4"/>
        <v>20.659336076941518</v>
      </c>
      <c r="P27" s="19">
        <f t="shared" si="1"/>
        <v>-6.8087339561449913E-3</v>
      </c>
      <c r="S27" s="13">
        <v>27.98</v>
      </c>
      <c r="T27" s="14">
        <v>18</v>
      </c>
      <c r="U27" s="7">
        <f t="shared" si="2"/>
        <v>0.50363999999999998</v>
      </c>
      <c r="V27" s="22">
        <f t="shared" si="5"/>
        <v>20.680631927096648</v>
      </c>
      <c r="W27" s="92">
        <f t="shared" si="3"/>
        <v>0.13461538461538464</v>
      </c>
    </row>
    <row r="28" spans="12:23" x14ac:dyDescent="0.2">
      <c r="L28" s="13">
        <v>28.98</v>
      </c>
      <c r="M28" s="14">
        <v>20.100000000000001</v>
      </c>
      <c r="N28" s="7">
        <f t="shared" si="0"/>
        <v>0.58249800000000007</v>
      </c>
      <c r="O28" s="22">
        <f t="shared" si="4"/>
        <v>19.994082259014128</v>
      </c>
      <c r="P28" s="19">
        <f t="shared" si="1"/>
        <v>-5.2974544974736925E-3</v>
      </c>
      <c r="S28" s="13">
        <v>28.97</v>
      </c>
      <c r="T28" s="14">
        <v>17.5</v>
      </c>
      <c r="U28" s="7">
        <f t="shared" si="2"/>
        <v>0.50697499999999995</v>
      </c>
      <c r="V28" s="22">
        <f t="shared" si="5"/>
        <v>20.000717613718546</v>
      </c>
      <c r="W28" s="92">
        <f t="shared" si="3"/>
        <v>0.12935323383084582</v>
      </c>
    </row>
    <row r="29" spans="12:23" x14ac:dyDescent="0.2">
      <c r="L29" s="13">
        <v>30.01</v>
      </c>
      <c r="M29" s="14">
        <v>19.600000000000001</v>
      </c>
      <c r="N29" s="7">
        <f t="shared" si="0"/>
        <v>0.58819600000000005</v>
      </c>
      <c r="O29" s="22">
        <f t="shared" si="4"/>
        <v>19.33387900948734</v>
      </c>
      <c r="P29" s="19">
        <f t="shared" si="1"/>
        <v>-1.3764490321992433E-2</v>
      </c>
      <c r="S29" s="13">
        <v>29.99</v>
      </c>
      <c r="T29" s="14">
        <v>16.899999999999999</v>
      </c>
      <c r="U29" s="7">
        <f t="shared" si="2"/>
        <v>0.50683099999999992</v>
      </c>
      <c r="V29" s="22">
        <f t="shared" si="5"/>
        <v>19.346274993195937</v>
      </c>
      <c r="W29" s="92">
        <f t="shared" si="3"/>
        <v>0.13775510204081645</v>
      </c>
    </row>
    <row r="30" spans="12:23" x14ac:dyDescent="0.2">
      <c r="L30" s="13">
        <v>31</v>
      </c>
      <c r="M30" s="14">
        <v>18.899999999999999</v>
      </c>
      <c r="N30" s="7">
        <f t="shared" si="0"/>
        <v>0.58589999999999998</v>
      </c>
      <c r="O30" s="22">
        <f t="shared" si="4"/>
        <v>18.739891924104093</v>
      </c>
      <c r="P30" s="19">
        <f t="shared" si="1"/>
        <v>-8.5437032691724063E-3</v>
      </c>
      <c r="S30" s="13">
        <v>31.01</v>
      </c>
      <c r="T30" s="14">
        <v>16.399999999999999</v>
      </c>
      <c r="U30" s="7">
        <f t="shared" si="2"/>
        <v>0.50856400000000002</v>
      </c>
      <c r="V30" s="22">
        <f t="shared" si="5"/>
        <v>18.734081844627827</v>
      </c>
      <c r="W30" s="92">
        <f t="shared" si="3"/>
        <v>0.1322751322751323</v>
      </c>
    </row>
    <row r="31" spans="12:23" x14ac:dyDescent="0.2">
      <c r="L31" s="15">
        <v>31.86</v>
      </c>
      <c r="M31" s="16">
        <v>18.600000000000001</v>
      </c>
      <c r="N31" s="7">
        <f t="shared" si="0"/>
        <v>0.59259600000000001</v>
      </c>
      <c r="O31" s="22">
        <f t="shared" si="4"/>
        <v>18.253303218476681</v>
      </c>
      <c r="P31" s="19">
        <f t="shared" si="1"/>
        <v>-1.8993646101949421E-2</v>
      </c>
      <c r="S31" s="15">
        <v>31.86</v>
      </c>
      <c r="T31" s="16">
        <v>16</v>
      </c>
      <c r="U31" s="7">
        <f t="shared" si="2"/>
        <v>0.50975999999999999</v>
      </c>
      <c r="V31" s="22">
        <f t="shared" si="5"/>
        <v>18.253303218476681</v>
      </c>
      <c r="W31" s="92">
        <f t="shared" si="3"/>
        <v>0.13978494623655921</v>
      </c>
    </row>
    <row r="35" spans="1:25" x14ac:dyDescent="0.2">
      <c r="L35" s="11" t="s">
        <v>9</v>
      </c>
    </row>
    <row r="36" spans="1:25" x14ac:dyDescent="0.2">
      <c r="L36" s="208" t="s">
        <v>12</v>
      </c>
      <c r="M36" s="157"/>
      <c r="N36" s="157"/>
      <c r="O36" s="157"/>
      <c r="P36" s="157"/>
      <c r="Q36" s="157"/>
      <c r="R36" s="157"/>
      <c r="S36" s="157"/>
      <c r="T36" s="157"/>
      <c r="U36" s="157"/>
      <c r="V36" s="157"/>
      <c r="W36" s="157"/>
      <c r="X36" s="157"/>
      <c r="Y36" s="157"/>
    </row>
    <row r="37" spans="1:25" x14ac:dyDescent="0.2">
      <c r="L37" s="208" t="s">
        <v>13</v>
      </c>
      <c r="M37" s="157"/>
      <c r="N37" s="157"/>
      <c r="O37" s="157"/>
      <c r="P37" s="157"/>
      <c r="Q37" s="157"/>
      <c r="R37" s="157"/>
      <c r="S37" s="157"/>
      <c r="T37" s="157"/>
      <c r="U37" s="157"/>
      <c r="V37" s="157"/>
      <c r="W37" s="157"/>
      <c r="X37" s="157"/>
      <c r="Y37" s="157"/>
    </row>
    <row r="38" spans="1:25" x14ac:dyDescent="0.2">
      <c r="L38" s="168" t="s">
        <v>14</v>
      </c>
      <c r="M38" s="168"/>
      <c r="N38" s="168"/>
      <c r="O38" s="168"/>
      <c r="P38" s="168"/>
      <c r="Q38" s="168"/>
      <c r="R38" s="168"/>
      <c r="S38" s="168"/>
      <c r="T38" s="168"/>
      <c r="U38" s="168"/>
      <c r="V38" s="168"/>
      <c r="W38" s="168"/>
      <c r="X38" s="168"/>
      <c r="Y38" s="168"/>
    </row>
    <row r="39" spans="1:25" x14ac:dyDescent="0.2">
      <c r="L39" s="168" t="s">
        <v>76</v>
      </c>
      <c r="M39" s="168"/>
      <c r="N39" s="168"/>
      <c r="O39" s="168"/>
      <c r="P39" s="168"/>
      <c r="Q39" s="168"/>
      <c r="R39" s="168"/>
      <c r="S39" s="168"/>
      <c r="T39" s="168"/>
      <c r="U39" s="168"/>
      <c r="V39" s="168"/>
      <c r="W39" s="168"/>
      <c r="X39" s="168"/>
      <c r="Y39" s="168"/>
    </row>
    <row r="40" spans="1:25" x14ac:dyDescent="0.2">
      <c r="L40" s="168" t="s">
        <v>15</v>
      </c>
      <c r="M40" s="168"/>
      <c r="N40" s="168"/>
      <c r="O40" s="168"/>
      <c r="P40" s="168"/>
      <c r="Q40" s="168"/>
      <c r="R40" s="168"/>
      <c r="S40" s="168"/>
      <c r="T40" s="168"/>
      <c r="U40" s="168"/>
      <c r="V40" s="168"/>
      <c r="W40" s="168"/>
      <c r="X40" s="168"/>
      <c r="Y40" s="168"/>
    </row>
    <row r="41" spans="1:25" x14ac:dyDescent="0.2">
      <c r="L41" s="168" t="s">
        <v>77</v>
      </c>
      <c r="M41" s="168"/>
      <c r="N41" s="168"/>
      <c r="O41" s="168"/>
      <c r="P41" s="168"/>
      <c r="Q41" s="168"/>
      <c r="R41" s="168"/>
      <c r="S41" s="168"/>
      <c r="T41" s="168"/>
      <c r="U41" s="168"/>
      <c r="V41" s="168"/>
      <c r="W41" s="168"/>
      <c r="X41" s="168"/>
      <c r="Y41" s="168"/>
    </row>
    <row r="42" spans="1:25" x14ac:dyDescent="0.2">
      <c r="B42" s="17" t="s">
        <v>38</v>
      </c>
      <c r="C42" s="18" t="s">
        <v>63</v>
      </c>
      <c r="L42" s="168" t="s">
        <v>149</v>
      </c>
      <c r="M42" s="168"/>
      <c r="N42" s="168"/>
      <c r="O42" s="168"/>
      <c r="P42" s="168"/>
      <c r="Q42" s="168"/>
      <c r="R42" s="168"/>
      <c r="S42" s="168"/>
      <c r="T42" s="168"/>
      <c r="U42" s="168"/>
      <c r="V42" s="168"/>
      <c r="W42" s="168"/>
      <c r="X42" s="168"/>
      <c r="Y42" s="168"/>
    </row>
    <row r="43" spans="1:25" x14ac:dyDescent="0.2">
      <c r="A43" s="95" t="s">
        <v>145</v>
      </c>
      <c r="B43" s="116">
        <v>24</v>
      </c>
      <c r="C43" s="22">
        <f>508.856146*B43^-0.961422</f>
        <v>23.967877254553635</v>
      </c>
      <c r="F43" s="22"/>
      <c r="G43" s="22"/>
      <c r="L43" s="208" t="s">
        <v>161</v>
      </c>
      <c r="M43" s="157"/>
      <c r="N43" s="157"/>
      <c r="O43" s="157"/>
      <c r="P43" s="157"/>
      <c r="Q43" s="157"/>
      <c r="R43" s="157"/>
      <c r="S43" s="157"/>
      <c r="T43" s="157"/>
      <c r="U43" s="157"/>
      <c r="V43" s="157"/>
      <c r="W43" s="157"/>
      <c r="X43" s="157"/>
      <c r="Y43" s="157"/>
    </row>
    <row r="44" spans="1:25" x14ac:dyDescent="0.2">
      <c r="L44" s="208" t="s">
        <v>150</v>
      </c>
      <c r="M44" s="157"/>
      <c r="N44" s="157"/>
      <c r="O44" s="157"/>
      <c r="P44" s="157"/>
      <c r="Q44" s="157"/>
      <c r="R44" s="23"/>
      <c r="S44" s="23"/>
      <c r="T44" s="23"/>
      <c r="U44" s="23"/>
      <c r="V44" s="23"/>
      <c r="W44" s="23"/>
      <c r="X44" s="23"/>
      <c r="Y44" s="23"/>
    </row>
    <row r="45" spans="1:25" x14ac:dyDescent="0.2">
      <c r="L45" s="6" t="s">
        <v>151</v>
      </c>
      <c r="M45" s="6">
        <v>24.5</v>
      </c>
      <c r="N45" s="6" t="s">
        <v>97</v>
      </c>
    </row>
    <row r="46" spans="1:25" x14ac:dyDescent="0.2">
      <c r="L46" s="6" t="s">
        <v>152</v>
      </c>
      <c r="M46" s="6">
        <v>20.399999999999999</v>
      </c>
      <c r="N46" s="6" t="s">
        <v>97</v>
      </c>
    </row>
    <row r="47" spans="1:25" x14ac:dyDescent="0.2">
      <c r="L47" s="6" t="s">
        <v>153</v>
      </c>
      <c r="M47" s="6">
        <v>20.7</v>
      </c>
      <c r="N47" s="6" t="s">
        <v>97</v>
      </c>
    </row>
    <row r="48" spans="1:25" x14ac:dyDescent="0.2">
      <c r="L48" s="6" t="s">
        <v>154</v>
      </c>
      <c r="M48" s="6">
        <v>18.8</v>
      </c>
      <c r="N48" s="6" t="s">
        <v>97</v>
      </c>
    </row>
    <row r="49" spans="12:25" x14ac:dyDescent="0.2">
      <c r="L49" s="6" t="s">
        <v>155</v>
      </c>
      <c r="M49" s="6">
        <v>19.100000000000001</v>
      </c>
      <c r="N49" s="6" t="s">
        <v>97</v>
      </c>
    </row>
    <row r="51" spans="12:25" x14ac:dyDescent="0.2">
      <c r="L51" s="168" t="s">
        <v>156</v>
      </c>
      <c r="M51" s="168"/>
      <c r="N51" s="168"/>
      <c r="O51" s="168"/>
      <c r="P51" s="168"/>
      <c r="Q51" s="168"/>
      <c r="R51" s="168"/>
      <c r="S51" s="168"/>
      <c r="T51" s="168"/>
      <c r="U51" s="168"/>
      <c r="V51" s="168"/>
      <c r="W51" s="168"/>
      <c r="X51" s="168"/>
      <c r="Y51" s="168"/>
    </row>
    <row r="52" spans="12:25" x14ac:dyDescent="0.2">
      <c r="L52" s="168" t="s">
        <v>162</v>
      </c>
      <c r="M52" s="168"/>
      <c r="N52" s="168"/>
      <c r="O52" s="168"/>
      <c r="P52" s="168"/>
      <c r="Q52" s="168"/>
      <c r="R52" s="168"/>
      <c r="S52" s="168"/>
      <c r="T52" s="168"/>
      <c r="U52" s="168"/>
      <c r="V52" s="168"/>
      <c r="W52" s="168"/>
      <c r="X52" s="168"/>
      <c r="Y52" s="168"/>
    </row>
    <row r="53" spans="12:25" x14ac:dyDescent="0.2">
      <c r="L53" s="168" t="s">
        <v>157</v>
      </c>
      <c r="M53" s="168"/>
      <c r="N53" s="168"/>
      <c r="O53" s="168"/>
      <c r="P53" s="168"/>
      <c r="Q53" s="168"/>
      <c r="R53" s="168"/>
      <c r="S53" s="168"/>
      <c r="T53" s="168"/>
      <c r="U53" s="168"/>
      <c r="V53" s="168"/>
      <c r="W53" s="168"/>
      <c r="X53" s="168"/>
      <c r="Y53" s="168"/>
    </row>
  </sheetData>
  <sheetProtection sheet="1" objects="1" scenarios="1" selectLockedCells="1" selectUnlockedCells="1"/>
  <mergeCells count="14">
    <mergeCell ref="L1:O1"/>
    <mergeCell ref="S1:W1"/>
    <mergeCell ref="L42:Y42"/>
    <mergeCell ref="L41:Y41"/>
    <mergeCell ref="L40:Y40"/>
    <mergeCell ref="L39:Y39"/>
    <mergeCell ref="L38:Y38"/>
    <mergeCell ref="L37:Y37"/>
    <mergeCell ref="L36:Y36"/>
    <mergeCell ref="L53:Y53"/>
    <mergeCell ref="L44:Q44"/>
    <mergeCell ref="L43:Y43"/>
    <mergeCell ref="L51:Y51"/>
    <mergeCell ref="L52:Y52"/>
  </mergeCells>
  <phoneticPr fontId="0" type="noConversion"/>
  <pageMargins left="0.5" right="0.5" top="0.5" bottom="0.5" header="0.5" footer="0.5"/>
  <pageSetup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2"/>
  <sheetViews>
    <sheetView workbookViewId="0">
      <selection activeCell="A145" sqref="A145:E145"/>
    </sheetView>
  </sheetViews>
  <sheetFormatPr defaultRowHeight="12.75" x14ac:dyDescent="0.2"/>
  <cols>
    <col min="1" max="1" width="9.140625" style="6"/>
    <col min="2" max="3" width="13.7109375" style="6" customWidth="1"/>
    <col min="4" max="10" width="9.140625" style="6"/>
    <col min="11" max="11" width="5.140625" style="6" customWidth="1"/>
    <col min="12" max="12" width="11.7109375" style="6" customWidth="1"/>
    <col min="13" max="13" width="12.5703125" style="6" customWidth="1"/>
    <col min="14" max="14" width="10.5703125" style="6" customWidth="1"/>
    <col min="15" max="15" width="12.5703125" style="6" customWidth="1"/>
    <col min="16" max="16" width="11.7109375" style="6" customWidth="1"/>
    <col min="17" max="17" width="14.140625" style="6" customWidth="1"/>
    <col min="18" max="18" width="9.140625" style="6"/>
    <col min="19" max="19" width="9.140625" style="6" hidden="1" customWidth="1"/>
    <col min="20" max="20" width="9.140625" style="6"/>
    <col min="21" max="21" width="7.28515625" style="6" customWidth="1"/>
    <col min="22" max="16384" width="9.140625" style="6"/>
  </cols>
  <sheetData>
    <row r="1" spans="12:19" x14ac:dyDescent="0.2">
      <c r="M1" s="210" t="s">
        <v>181</v>
      </c>
      <c r="N1" s="210"/>
      <c r="O1" s="211" t="s">
        <v>180</v>
      </c>
      <c r="P1" s="211"/>
      <c r="Q1" s="211"/>
      <c r="R1" s="211"/>
      <c r="S1" s="121"/>
    </row>
    <row r="2" spans="12:19" x14ac:dyDescent="0.2">
      <c r="L2" s="17" t="s">
        <v>38</v>
      </c>
      <c r="M2" s="18" t="s">
        <v>37</v>
      </c>
      <c r="N2" s="18" t="s">
        <v>40</v>
      </c>
      <c r="O2" s="18" t="s">
        <v>37</v>
      </c>
      <c r="P2" s="18" t="s">
        <v>40</v>
      </c>
      <c r="Q2" s="106" t="s">
        <v>63</v>
      </c>
      <c r="R2" s="108" t="s">
        <v>189</v>
      </c>
      <c r="S2" s="6" t="s">
        <v>42</v>
      </c>
    </row>
    <row r="3" spans="12:19" x14ac:dyDescent="0.2">
      <c r="L3" s="123">
        <v>5.5</v>
      </c>
      <c r="M3" s="124">
        <v>226</v>
      </c>
      <c r="N3" s="125">
        <f t="shared" ref="N3:N8" si="0">L3*M3/1000</f>
        <v>1.2430000000000001</v>
      </c>
      <c r="O3" s="124">
        <v>246</v>
      </c>
      <c r="P3" s="125">
        <f t="shared" ref="P3:P8" si="1">L3*O3/1000</f>
        <v>1.353</v>
      </c>
      <c r="Q3" s="127">
        <f xml:space="preserve"> 0.0000018830771*L3^6 - 0.00027734971*L3^5 + 0.016867019*L3^4 - 0.54658987*L3^3 + 10.14098*L3^2 - 107.08683*L3^1 + 610.02959</f>
        <v>250.96842397837395</v>
      </c>
      <c r="R3" s="128">
        <f>(Q3-O3)/O3</f>
        <v>2.0196845440544505E-2</v>
      </c>
    </row>
    <row r="4" spans="12:19" x14ac:dyDescent="0.2">
      <c r="L4" s="13">
        <v>6</v>
      </c>
      <c r="M4" s="14">
        <v>204</v>
      </c>
      <c r="N4" s="7">
        <f t="shared" si="0"/>
        <v>1.224</v>
      </c>
      <c r="O4" s="129">
        <v>232</v>
      </c>
      <c r="P4" s="7">
        <f t="shared" si="1"/>
        <v>1.3919999999999999</v>
      </c>
      <c r="Q4" s="7">
        <f xml:space="preserve"> 0.0000018830771*L4^6 - 0.00027734971*L4^5 + 0.016867019*L4^4 - 0.54658987*L4^3 + 10.14098*L4^2 - 107.08683*L4^1 + 610.02959</f>
        <v>234.31132020421762</v>
      </c>
      <c r="R4" s="92">
        <f>(Q4-O4)/O4</f>
        <v>9.9625870871449251E-3</v>
      </c>
    </row>
    <row r="5" spans="12:19" x14ac:dyDescent="0.2">
      <c r="L5" s="13">
        <v>6.5</v>
      </c>
      <c r="M5" s="14">
        <v>189.3</v>
      </c>
      <c r="N5" s="7">
        <f t="shared" si="0"/>
        <v>1.23045</v>
      </c>
      <c r="O5" s="129">
        <v>222.5</v>
      </c>
      <c r="P5" s="7">
        <f t="shared" si="1"/>
        <v>1.44625</v>
      </c>
      <c r="Q5" s="7">
        <f xml:space="preserve"> 0.0000018830771*L5^6 - 0.00027734971*L5^5 + 0.016867019*L5^4 - 0.54658987*L5^3 + 10.14098*L5^2 - 107.08683*L5^1 + 610.02959</f>
        <v>219.34699695718615</v>
      </c>
      <c r="R5" s="92">
        <f t="shared" ref="R5:R34" si="2">(Q5-O5)/O5</f>
        <v>-1.4170800192421798E-2</v>
      </c>
    </row>
    <row r="6" spans="12:19" x14ac:dyDescent="0.2">
      <c r="L6" s="13">
        <v>7</v>
      </c>
      <c r="M6" s="14">
        <v>176.7</v>
      </c>
      <c r="N6" s="7">
        <f t="shared" si="0"/>
        <v>1.2368999999999999</v>
      </c>
      <c r="O6" s="129">
        <v>206.7</v>
      </c>
      <c r="P6" s="7">
        <f t="shared" si="1"/>
        <v>1.4468999999999999</v>
      </c>
      <c r="Q6" s="7">
        <f xml:space="preserve"> 0.0000018830771*L6^6 - 0.00027734971*L6^5 + 0.016867019*L6^4 - 0.54658987*L6^3 + 10.14098*L6^2 - 107.08683*L6^1 + 610.02959</f>
        <v>205.90731277076782</v>
      </c>
      <c r="R6" s="92">
        <f t="shared" si="2"/>
        <v>-3.8349648245388094E-3</v>
      </c>
    </row>
    <row r="7" spans="12:19" x14ac:dyDescent="0.2">
      <c r="L7" s="13">
        <v>7.5</v>
      </c>
      <c r="M7" s="14">
        <v>166.2</v>
      </c>
      <c r="N7" s="7">
        <f t="shared" si="0"/>
        <v>1.2464999999999999</v>
      </c>
      <c r="O7" s="129">
        <v>193.6</v>
      </c>
      <c r="P7" s="7">
        <f t="shared" si="1"/>
        <v>1.452</v>
      </c>
      <c r="Q7" s="7">
        <f t="shared" ref="Q7:Q34" si="3" xml:space="preserve"> 0.0000018830771*L7^6 - 0.00027734971*L7^5 + 0.016867019*L7^4 - 0.54658987*L7^3 + 10.14098*L7^2 - 107.08683*L7^1 + 610.02959</f>
        <v>193.83769953952634</v>
      </c>
      <c r="R7" s="92">
        <f t="shared" si="2"/>
        <v>1.2277868777187313E-3</v>
      </c>
    </row>
    <row r="8" spans="12:19" x14ac:dyDescent="0.2">
      <c r="L8" s="13">
        <v>8</v>
      </c>
      <c r="M8" s="14">
        <v>156</v>
      </c>
      <c r="N8" s="7">
        <f t="shared" si="0"/>
        <v>1.248</v>
      </c>
      <c r="O8" s="129">
        <v>182</v>
      </c>
      <c r="P8" s="7">
        <f t="shared" si="1"/>
        <v>1.456</v>
      </c>
      <c r="Q8" s="7">
        <f t="shared" si="3"/>
        <v>182.99640845002239</v>
      </c>
      <c r="R8" s="92">
        <f t="shared" si="2"/>
        <v>5.4747717034197042E-3</v>
      </c>
    </row>
    <row r="9" spans="12:19" x14ac:dyDescent="0.2">
      <c r="L9" s="13">
        <v>8.5</v>
      </c>
      <c r="M9" s="14">
        <v>148.5</v>
      </c>
      <c r="N9" s="7">
        <f t="shared" ref="N9:N34" si="4">L9*M9/1000</f>
        <v>1.2622500000000001</v>
      </c>
      <c r="O9" s="129">
        <v>172.8</v>
      </c>
      <c r="P9" s="7">
        <f t="shared" ref="P9:P24" si="5">L9*O9/1000</f>
        <v>1.4688000000000001</v>
      </c>
      <c r="Q9" s="7">
        <f t="shared" si="3"/>
        <v>173.25377709635359</v>
      </c>
      <c r="R9" s="92">
        <f t="shared" si="2"/>
        <v>2.6260248631572703E-3</v>
      </c>
      <c r="S9" s="110" t="e">
        <f>(#REF!-#REF!)/#REF!</f>
        <v>#REF!</v>
      </c>
    </row>
    <row r="10" spans="12:19" x14ac:dyDescent="0.2">
      <c r="L10" s="13">
        <v>9</v>
      </c>
      <c r="M10" s="14">
        <v>140.6</v>
      </c>
      <c r="N10" s="7">
        <f t="shared" si="4"/>
        <v>1.2653999999999999</v>
      </c>
      <c r="O10" s="129">
        <v>164</v>
      </c>
      <c r="P10" s="7">
        <f t="shared" si="5"/>
        <v>1.476</v>
      </c>
      <c r="Q10" s="7">
        <f t="shared" si="3"/>
        <v>164.49151778031114</v>
      </c>
      <c r="R10" s="92">
        <f t="shared" si="2"/>
        <v>2.9970596360435484E-3</v>
      </c>
      <c r="S10" s="110" t="e">
        <f>(#REF!-#REF!)/#REF!</f>
        <v>#REF!</v>
      </c>
    </row>
    <row r="11" spans="12:19" x14ac:dyDescent="0.2">
      <c r="L11" s="13">
        <v>9.5</v>
      </c>
      <c r="M11" s="14">
        <v>134.1</v>
      </c>
      <c r="N11" s="7">
        <f t="shared" si="4"/>
        <v>1.2739500000000001</v>
      </c>
      <c r="O11" s="129">
        <v>156.69999999999999</v>
      </c>
      <c r="P11" s="7">
        <f t="shared" si="5"/>
        <v>1.4886499999999998</v>
      </c>
      <c r="Q11" s="7">
        <f t="shared" si="3"/>
        <v>156.60202699615377</v>
      </c>
      <c r="R11" s="92">
        <f t="shared" si="2"/>
        <v>-6.2522657208819896E-4</v>
      </c>
      <c r="S11" s="110" t="e">
        <f>(#REF!-#REF!)/#REF!</f>
        <v>#REF!</v>
      </c>
    </row>
    <row r="12" spans="12:19" x14ac:dyDescent="0.2">
      <c r="L12" s="13">
        <v>10</v>
      </c>
      <c r="M12" s="14">
        <v>128</v>
      </c>
      <c r="N12" s="7">
        <f t="shared" si="4"/>
        <v>1.28</v>
      </c>
      <c r="O12" s="129">
        <v>149.6</v>
      </c>
      <c r="P12" s="7">
        <f t="shared" si="5"/>
        <v>1.496</v>
      </c>
      <c r="Q12" s="7">
        <f t="shared" si="3"/>
        <v>149.48771609999994</v>
      </c>
      <c r="R12" s="92">
        <f t="shared" si="2"/>
        <v>-7.5056082887734669E-4</v>
      </c>
      <c r="S12" s="110" t="e">
        <f>(#REF!-M9)/#REF!</f>
        <v>#REF!</v>
      </c>
    </row>
    <row r="13" spans="12:19" x14ac:dyDescent="0.2">
      <c r="L13" s="13">
        <v>11</v>
      </c>
      <c r="M13" s="14">
        <v>117.8</v>
      </c>
      <c r="N13" s="7">
        <f t="shared" si="4"/>
        <v>1.2958000000000001</v>
      </c>
      <c r="O13" s="129">
        <v>137.1</v>
      </c>
      <c r="P13" s="7">
        <f t="shared" si="5"/>
        <v>1.5081</v>
      </c>
      <c r="Q13" s="7">
        <f t="shared" si="3"/>
        <v>137.24048601414313</v>
      </c>
      <c r="R13" s="92">
        <f t="shared" si="2"/>
        <v>1.0246974043992391E-3</v>
      </c>
      <c r="S13" s="110" t="e">
        <f>(#REF!-M10)/#REF!</f>
        <v>#REF!</v>
      </c>
    </row>
    <row r="14" spans="12:19" x14ac:dyDescent="0.2">
      <c r="L14" s="13">
        <v>12</v>
      </c>
      <c r="M14" s="14">
        <v>109.2</v>
      </c>
      <c r="N14" s="7">
        <f t="shared" si="4"/>
        <v>1.3104</v>
      </c>
      <c r="O14" s="129">
        <v>127.3</v>
      </c>
      <c r="P14" s="7">
        <f t="shared" si="5"/>
        <v>1.5275999999999998</v>
      </c>
      <c r="Q14" s="7">
        <f t="shared" si="3"/>
        <v>127.14531567664642</v>
      </c>
      <c r="R14" s="92">
        <f t="shared" si="2"/>
        <v>-1.2151164442543456E-3</v>
      </c>
      <c r="S14" s="110" t="e">
        <f>(#REF!-M11)/#REF!</f>
        <v>#REF!</v>
      </c>
    </row>
    <row r="15" spans="12:19" x14ac:dyDescent="0.2">
      <c r="L15" s="13">
        <v>13</v>
      </c>
      <c r="M15" s="14">
        <v>102</v>
      </c>
      <c r="N15" s="7">
        <f t="shared" si="4"/>
        <v>1.3260000000000001</v>
      </c>
      <c r="O15" s="129">
        <v>119</v>
      </c>
      <c r="P15" s="7">
        <f t="shared" si="5"/>
        <v>1.5469999999999999</v>
      </c>
      <c r="Q15" s="7">
        <f t="shared" si="3"/>
        <v>118.7186528879439</v>
      </c>
      <c r="R15" s="92">
        <f t="shared" si="2"/>
        <v>-2.3642614458495477E-3</v>
      </c>
      <c r="S15" s="110" t="e">
        <f>(#REF!-M12)/#REF!</f>
        <v>#REF!</v>
      </c>
    </row>
    <row r="16" spans="12:19" x14ac:dyDescent="0.2">
      <c r="L16" s="13">
        <v>14</v>
      </c>
      <c r="M16" s="14">
        <v>96</v>
      </c>
      <c r="N16" s="7">
        <f t="shared" si="4"/>
        <v>1.3440000000000001</v>
      </c>
      <c r="O16" s="129">
        <v>111.8</v>
      </c>
      <c r="P16" s="7">
        <f t="shared" si="5"/>
        <v>1.5652000000000001</v>
      </c>
      <c r="Q16" s="7">
        <f t="shared" si="3"/>
        <v>111.58021500818541</v>
      </c>
      <c r="R16" s="92">
        <f t="shared" si="2"/>
        <v>-1.9658764920804294E-3</v>
      </c>
      <c r="S16" s="110" t="e">
        <f>(#REF!-M13)/#REF!</f>
        <v>#REF!</v>
      </c>
    </row>
    <row r="17" spans="12:19" x14ac:dyDescent="0.2">
      <c r="L17" s="13">
        <v>15</v>
      </c>
      <c r="M17" s="14">
        <v>90.9</v>
      </c>
      <c r="N17" s="7">
        <f t="shared" si="4"/>
        <v>1.3634999999999999</v>
      </c>
      <c r="O17" s="129">
        <v>105.5</v>
      </c>
      <c r="P17" s="7">
        <f t="shared" si="5"/>
        <v>1.5825</v>
      </c>
      <c r="Q17" s="7">
        <f t="shared" si="3"/>
        <v>105.4366546859377</v>
      </c>
      <c r="R17" s="92">
        <f t="shared" si="2"/>
        <v>-6.0042951717822991E-4</v>
      </c>
      <c r="S17" s="110" t="e">
        <f>(#REF!-M14)/#REF!</f>
        <v>#REF!</v>
      </c>
    </row>
    <row r="18" spans="12:19" x14ac:dyDescent="0.2">
      <c r="L18" s="13">
        <v>16</v>
      </c>
      <c r="M18" s="14">
        <v>86.4</v>
      </c>
      <c r="N18" s="7">
        <f t="shared" si="4"/>
        <v>1.3824000000000001</v>
      </c>
      <c r="O18" s="129">
        <v>100.2</v>
      </c>
      <c r="P18" s="7">
        <f t="shared" si="5"/>
        <v>1.6032</v>
      </c>
      <c r="Q18" s="7">
        <f t="shared" si="3"/>
        <v>100.06658140239358</v>
      </c>
      <c r="R18" s="92">
        <f t="shared" si="2"/>
        <v>-1.3315229302038117E-3</v>
      </c>
      <c r="S18" s="110" t="e">
        <f>(#REF!-M15)/#REF!</f>
        <v>#REF!</v>
      </c>
    </row>
    <row r="19" spans="12:19" x14ac:dyDescent="0.2">
      <c r="L19" s="13">
        <v>17</v>
      </c>
      <c r="M19" s="14">
        <v>82.3</v>
      </c>
      <c r="N19" s="7">
        <f t="shared" si="4"/>
        <v>1.3991</v>
      </c>
      <c r="O19" s="129">
        <v>95.3</v>
      </c>
      <c r="P19" s="7">
        <f t="shared" si="5"/>
        <v>1.6200999999999999</v>
      </c>
      <c r="Q19" s="7">
        <f t="shared" si="3"/>
        <v>95.306938831099956</v>
      </c>
      <c r="R19" s="92">
        <f t="shared" si="2"/>
        <v>7.2810399789701157E-5</v>
      </c>
      <c r="S19" s="110" t="e">
        <f>(#REF!-M16)/#REF!</f>
        <v>#REF!</v>
      </c>
    </row>
    <row r="20" spans="12:19" x14ac:dyDescent="0.2">
      <c r="L20" s="13">
        <v>18</v>
      </c>
      <c r="M20" s="14">
        <v>78.599999999999994</v>
      </c>
      <c r="N20" s="7">
        <f t="shared" si="4"/>
        <v>1.4148000000000001</v>
      </c>
      <c r="O20" s="129">
        <v>90.8</v>
      </c>
      <c r="P20" s="7">
        <f t="shared" si="5"/>
        <v>1.6343999999999999</v>
      </c>
      <c r="Q20" s="7">
        <f t="shared" si="3"/>
        <v>91.040738013190207</v>
      </c>
      <c r="R20" s="92">
        <f t="shared" si="2"/>
        <v>2.6512997047379973E-3</v>
      </c>
      <c r="S20" s="110" t="e">
        <f>(#REF!-M17)/#REF!</f>
        <v>#REF!</v>
      </c>
    </row>
    <row r="21" spans="12:19" x14ac:dyDescent="0.2">
      <c r="L21" s="13">
        <v>19</v>
      </c>
      <c r="M21" s="14">
        <v>75.400000000000006</v>
      </c>
      <c r="N21" s="7">
        <f t="shared" si="4"/>
        <v>1.4326000000000001</v>
      </c>
      <c r="O21" s="129">
        <v>87</v>
      </c>
      <c r="P21" s="7">
        <f t="shared" si="5"/>
        <v>1.653</v>
      </c>
      <c r="Q21" s="7">
        <f t="shared" si="3"/>
        <v>87.186146348135139</v>
      </c>
      <c r="R21" s="92">
        <f t="shared" si="2"/>
        <v>2.1396131969556244E-3</v>
      </c>
      <c r="S21" s="110" t="e">
        <f>(#REF!-M18)/#REF!</f>
        <v>#REF!</v>
      </c>
    </row>
    <row r="22" spans="12:19" x14ac:dyDescent="0.2">
      <c r="L22" s="13">
        <v>20</v>
      </c>
      <c r="M22" s="14">
        <v>72.5</v>
      </c>
      <c r="N22" s="7">
        <f t="shared" si="4"/>
        <v>1.45</v>
      </c>
      <c r="O22" s="129">
        <v>83.5</v>
      </c>
      <c r="P22" s="7">
        <f t="shared" si="5"/>
        <v>1.67</v>
      </c>
      <c r="Q22" s="7">
        <f t="shared" si="3"/>
        <v>83.686932399999819</v>
      </c>
      <c r="R22" s="92">
        <f t="shared" si="2"/>
        <v>2.2387113772433377E-3</v>
      </c>
      <c r="S22" s="110" t="e">
        <f>(#REF!-M19)/#REF!</f>
        <v>#REF!</v>
      </c>
    </row>
    <row r="23" spans="12:19" x14ac:dyDescent="0.2">
      <c r="L23" s="13">
        <v>21</v>
      </c>
      <c r="M23" s="14">
        <v>70</v>
      </c>
      <c r="N23" s="7">
        <f t="shared" si="4"/>
        <v>1.47</v>
      </c>
      <c r="O23" s="129">
        <v>80.5</v>
      </c>
      <c r="P23" s="7">
        <f t="shared" si="5"/>
        <v>1.6904999999999999</v>
      </c>
      <c r="Q23" s="7">
        <f t="shared" si="3"/>
        <v>80.504266519218959</v>
      </c>
      <c r="R23" s="92">
        <f t="shared" si="2"/>
        <v>5.3000238744830059E-5</v>
      </c>
      <c r="S23" s="110" t="e">
        <f>(#REF!-M20)/#REF!</f>
        <v>#REF!</v>
      </c>
    </row>
    <row r="24" spans="12:19" x14ac:dyDescent="0.2">
      <c r="L24" s="13">
        <v>22</v>
      </c>
      <c r="M24" s="122">
        <v>67.599999999999994</v>
      </c>
      <c r="N24" s="7">
        <f t="shared" si="4"/>
        <v>1.4871999999999999</v>
      </c>
      <c r="O24" s="129">
        <v>77.7</v>
      </c>
      <c r="P24" s="7">
        <f t="shared" si="5"/>
        <v>1.7094</v>
      </c>
      <c r="Q24" s="7">
        <f t="shared" si="3"/>
        <v>77.60987727987856</v>
      </c>
      <c r="R24" s="92">
        <f t="shared" si="2"/>
        <v>-1.1598805678435329E-3</v>
      </c>
      <c r="S24" s="110" t="e">
        <f>(#REF!-M21)/#REF!</f>
        <v>#REF!</v>
      </c>
    </row>
    <row r="25" spans="12:19" x14ac:dyDescent="0.2">
      <c r="L25" s="13">
        <v>23</v>
      </c>
      <c r="M25" s="122">
        <v>65.3</v>
      </c>
      <c r="N25" s="7">
        <f t="shared" si="4"/>
        <v>1.5018999999999998</v>
      </c>
      <c r="O25" s="129">
        <v>75</v>
      </c>
      <c r="P25" s="7">
        <f>L25*O25/1000</f>
        <v>1.7250000000000001</v>
      </c>
      <c r="Q25" s="7">
        <f t="shared" si="3"/>
        <v>74.980563732511541</v>
      </c>
      <c r="R25" s="92">
        <f t="shared" si="2"/>
        <v>-2.5915023317944969E-4</v>
      </c>
      <c r="S25" s="110" t="e">
        <f>(#REF!-M22)/#REF!</f>
        <v>#REF!</v>
      </c>
    </row>
    <row r="26" spans="12:19" x14ac:dyDescent="0.2">
      <c r="L26" s="13">
        <v>24</v>
      </c>
      <c r="M26" s="122">
        <v>63.4</v>
      </c>
      <c r="N26" s="7">
        <f t="shared" si="4"/>
        <v>1.5215999999999998</v>
      </c>
      <c r="O26" s="129">
        <v>72.7</v>
      </c>
      <c r="P26" s="7">
        <f t="shared" ref="P26:P34" si="6">L26*O26/1000</f>
        <v>1.7448000000000001</v>
      </c>
      <c r="Q26" s="7">
        <f t="shared" si="3"/>
        <v>72.594063472409175</v>
      </c>
      <c r="R26" s="92">
        <f t="shared" si="2"/>
        <v>-1.4571736945093222E-3</v>
      </c>
      <c r="S26" s="110" t="e">
        <f>(#REF!-M23)/#REF!</f>
        <v>#REF!</v>
      </c>
    </row>
    <row r="27" spans="12:19" x14ac:dyDescent="0.2">
      <c r="L27" s="13">
        <v>25</v>
      </c>
      <c r="M27" s="14">
        <v>61.5</v>
      </c>
      <c r="N27" s="7">
        <f t="shared" si="4"/>
        <v>1.5375000000000001</v>
      </c>
      <c r="O27" s="129">
        <v>70.5</v>
      </c>
      <c r="P27" s="7">
        <f t="shared" si="6"/>
        <v>1.7625</v>
      </c>
      <c r="Q27" s="7">
        <f t="shared" si="3"/>
        <v>70.426276523437878</v>
      </c>
      <c r="R27" s="92">
        <f t="shared" si="2"/>
        <v>-1.0457230718031547E-3</v>
      </c>
      <c r="S27" s="110" t="e">
        <f>(#REF!-M24)/#REF!</f>
        <v>#REF!</v>
      </c>
    </row>
    <row r="28" spans="12:19" x14ac:dyDescent="0.2">
      <c r="L28" s="13">
        <v>26</v>
      </c>
      <c r="M28" s="14">
        <v>59.9</v>
      </c>
      <c r="N28" s="7">
        <f t="shared" si="4"/>
        <v>1.5573999999999999</v>
      </c>
      <c r="O28" s="129">
        <v>68.5</v>
      </c>
      <c r="P28" s="7">
        <f t="shared" si="6"/>
        <v>1.7809999999999999</v>
      </c>
      <c r="Q28" s="7">
        <f t="shared" si="3"/>
        <v>68.449845037369755</v>
      </c>
      <c r="R28" s="92">
        <f t="shared" si="2"/>
        <v>-7.3218923547802744E-4</v>
      </c>
      <c r="S28" s="110" t="e">
        <f>(#REF!-M25)/#REF!</f>
        <v>#REF!</v>
      </c>
    </row>
    <row r="29" spans="12:19" x14ac:dyDescent="0.2">
      <c r="L29" s="13">
        <v>27</v>
      </c>
      <c r="M29" s="14">
        <v>58.3</v>
      </c>
      <c r="N29" s="7">
        <f t="shared" si="4"/>
        <v>1.5740999999999998</v>
      </c>
      <c r="O29" s="129">
        <v>66.7</v>
      </c>
      <c r="P29" s="7">
        <f t="shared" si="6"/>
        <v>1.8009000000000002</v>
      </c>
      <c r="Q29" s="7">
        <f t="shared" si="3"/>
        <v>66.634088808732827</v>
      </c>
      <c r="R29" s="92">
        <f t="shared" si="2"/>
        <v>-9.8817378211658391E-4</v>
      </c>
      <c r="S29" s="110" t="e">
        <f>(#REF!-M26)/#REF!</f>
        <v>#REF!</v>
      </c>
    </row>
    <row r="30" spans="12:19" x14ac:dyDescent="0.2">
      <c r="L30" s="13">
        <v>28</v>
      </c>
      <c r="M30" s="14">
        <v>56.9</v>
      </c>
      <c r="N30" s="7">
        <f t="shared" si="4"/>
        <v>1.5931999999999999</v>
      </c>
      <c r="O30" s="129">
        <v>64.900000000000006</v>
      </c>
      <c r="P30" s="7">
        <f t="shared" si="6"/>
        <v>1.8172000000000004</v>
      </c>
      <c r="Q30" s="7">
        <f t="shared" si="3"/>
        <v>64.946296605156363</v>
      </c>
      <c r="R30" s="92">
        <f t="shared" si="2"/>
        <v>7.1335292999009112E-4</v>
      </c>
      <c r="S30" s="110" t="e">
        <f>(#REF!-M27)/#REF!</f>
        <v>#REF!</v>
      </c>
    </row>
    <row r="31" spans="12:19" x14ac:dyDescent="0.2">
      <c r="L31" s="13">
        <v>29</v>
      </c>
      <c r="M31" s="14">
        <v>55.4</v>
      </c>
      <c r="N31" s="7">
        <f t="shared" si="4"/>
        <v>1.6065999999999998</v>
      </c>
      <c r="O31" s="129">
        <v>63.2</v>
      </c>
      <c r="P31" s="7">
        <f t="shared" si="6"/>
        <v>1.8328000000000002</v>
      </c>
      <c r="Q31" s="7">
        <f t="shared" si="3"/>
        <v>63.354373313259089</v>
      </c>
      <c r="R31" s="92">
        <f t="shared" si="2"/>
        <v>2.4426157161247762E-3</v>
      </c>
      <c r="S31" s="110" t="e">
        <f>(#REF!-M28)/#REF!</f>
        <v>#REF!</v>
      </c>
    </row>
    <row r="32" spans="12:19" x14ac:dyDescent="0.2">
      <c r="L32" s="13">
        <v>30</v>
      </c>
      <c r="M32" s="14">
        <v>54.2</v>
      </c>
      <c r="N32" s="7">
        <f t="shared" si="4"/>
        <v>1.6259999999999999</v>
      </c>
      <c r="O32" s="129">
        <v>61.8</v>
      </c>
      <c r="P32" s="7">
        <f t="shared" si="6"/>
        <v>1.8540000000000001</v>
      </c>
      <c r="Q32" s="7">
        <f t="shared" si="3"/>
        <v>61.830842899998856</v>
      </c>
      <c r="R32" s="92">
        <f t="shared" si="2"/>
        <v>4.9907605176147661E-4</v>
      </c>
      <c r="S32" s="110" t="e">
        <f>(#REF!-M29)/#REF!</f>
        <v>#REF!</v>
      </c>
    </row>
    <row r="33" spans="1:19" x14ac:dyDescent="0.2">
      <c r="L33" s="13">
        <v>31</v>
      </c>
      <c r="M33" s="14">
        <v>53</v>
      </c>
      <c r="N33" s="7">
        <f t="shared" si="4"/>
        <v>1.643</v>
      </c>
      <c r="O33" s="129">
        <v>60.4</v>
      </c>
      <c r="P33" s="7">
        <f t="shared" si="6"/>
        <v>1.8723999999999998</v>
      </c>
      <c r="Q33" s="7">
        <f t="shared" si="3"/>
        <v>60.358207189592918</v>
      </c>
      <c r="R33" s="92">
        <f t="shared" si="2"/>
        <v>-6.9193394713710349E-4</v>
      </c>
      <c r="S33" s="110" t="e">
        <f>(#REF!-M30)/#REF!</f>
        <v>#REF!</v>
      </c>
    </row>
    <row r="34" spans="1:19" x14ac:dyDescent="0.2">
      <c r="L34" s="15">
        <v>31.76</v>
      </c>
      <c r="M34" s="16">
        <v>52.2</v>
      </c>
      <c r="N34" s="126">
        <f t="shared" si="4"/>
        <v>1.657872</v>
      </c>
      <c r="O34" s="130">
        <v>59.3</v>
      </c>
      <c r="P34" s="7">
        <f t="shared" si="6"/>
        <v>1.8833679999999999</v>
      </c>
      <c r="Q34" s="7">
        <f t="shared" si="3"/>
        <v>59.271714146126556</v>
      </c>
      <c r="R34" s="92">
        <f t="shared" si="2"/>
        <v>-4.7699584946781832E-4</v>
      </c>
      <c r="S34" s="110" t="e">
        <f>(#REF!-M31)/#REF!</f>
        <v>#REF!</v>
      </c>
    </row>
    <row r="35" spans="1:19" x14ac:dyDescent="0.2">
      <c r="Q35" s="7"/>
      <c r="R35" s="7"/>
      <c r="S35" s="110" t="e">
        <f>(#REF!-M32)/#REF!</f>
        <v>#REF!</v>
      </c>
    </row>
    <row r="36" spans="1:19" x14ac:dyDescent="0.2">
      <c r="Q36" s="7"/>
      <c r="R36" s="7"/>
      <c r="S36" s="110" t="e">
        <f>(#REF!-M33)/#REF!</f>
        <v>#REF!</v>
      </c>
    </row>
    <row r="37" spans="1:19" x14ac:dyDescent="0.2">
      <c r="Q37" s="7"/>
      <c r="R37" s="7"/>
      <c r="S37" s="110" t="e">
        <f>(#REF!-M34)/#REF!</f>
        <v>#REF!</v>
      </c>
    </row>
    <row r="38" spans="1:19" x14ac:dyDescent="0.2">
      <c r="L38" s="11" t="s">
        <v>9</v>
      </c>
    </row>
    <row r="39" spans="1:19" x14ac:dyDescent="0.2">
      <c r="L39" s="7" t="s">
        <v>62</v>
      </c>
    </row>
    <row r="40" spans="1:19" x14ac:dyDescent="0.2">
      <c r="L40" s="7" t="s">
        <v>184</v>
      </c>
    </row>
    <row r="41" spans="1:19" x14ac:dyDescent="0.2">
      <c r="B41" s="17" t="s">
        <v>38</v>
      </c>
      <c r="C41" s="18" t="s">
        <v>63</v>
      </c>
      <c r="L41" s="6" t="s">
        <v>147</v>
      </c>
    </row>
    <row r="42" spans="1:19" x14ac:dyDescent="0.2">
      <c r="A42" s="95" t="s">
        <v>145</v>
      </c>
      <c r="B42" s="116">
        <v>8.5</v>
      </c>
      <c r="C42" s="7">
        <f xml:space="preserve"> 0.0000018830771*B42^6 - 0.00027734971*B42^5 + 0.016867019*B42^4 - 0.54658987*B42^3 + 10.14098*B42^2 - 107.08683*B42^1 + 610.02959</f>
        <v>173.25377709635359</v>
      </c>
      <c r="L42" s="6" t="s">
        <v>182</v>
      </c>
    </row>
    <row r="43" spans="1:19" x14ac:dyDescent="0.2">
      <c r="L43" s="95"/>
    </row>
    <row r="46" spans="1:19" x14ac:dyDescent="0.2">
      <c r="E46" s="7"/>
      <c r="L46" s="6" t="s">
        <v>193</v>
      </c>
    </row>
    <row r="47" spans="1:19" x14ac:dyDescent="0.2">
      <c r="B47"/>
      <c r="C47" s="7"/>
      <c r="L47" s="95" t="s">
        <v>175</v>
      </c>
    </row>
    <row r="48" spans="1:19" x14ac:dyDescent="0.2">
      <c r="B48"/>
      <c r="C48"/>
      <c r="D48"/>
      <c r="E48"/>
      <c r="F48" s="7"/>
      <c r="G48" s="7"/>
      <c r="H48" s="92"/>
      <c r="L48" s="6">
        <v>24</v>
      </c>
      <c r="M48" s="6">
        <v>72.7</v>
      </c>
      <c r="N48" s="7">
        <f>L48*M48/1000</f>
        <v>1.7448000000000001</v>
      </c>
    </row>
    <row r="49" spans="12:16" x14ac:dyDescent="0.2">
      <c r="L49" s="6">
        <v>15</v>
      </c>
      <c r="M49" s="6">
        <v>105.5</v>
      </c>
      <c r="N49" s="7">
        <f>L49*M49/1000</f>
        <v>1.5825</v>
      </c>
    </row>
    <row r="50" spans="12:16" x14ac:dyDescent="0.2">
      <c r="L50" s="6">
        <v>10</v>
      </c>
      <c r="M50" s="6">
        <v>149.6</v>
      </c>
      <c r="N50" s="7">
        <f>L50*M50/1000</f>
        <v>1.496</v>
      </c>
    </row>
    <row r="52" spans="12:16" x14ac:dyDescent="0.2">
      <c r="L52" s="95" t="s">
        <v>177</v>
      </c>
    </row>
    <row r="53" spans="12:16" x14ac:dyDescent="0.2">
      <c r="L53" s="6" t="s">
        <v>176</v>
      </c>
    </row>
    <row r="54" spans="12:16" x14ac:dyDescent="0.2">
      <c r="L54" s="6">
        <v>24</v>
      </c>
      <c r="M54" s="6">
        <v>47.7</v>
      </c>
      <c r="N54" s="7">
        <f>L54*M54/1000</f>
        <v>1.1448000000000003</v>
      </c>
    </row>
    <row r="55" spans="12:16" x14ac:dyDescent="0.2">
      <c r="L55" s="6">
        <v>15</v>
      </c>
      <c r="M55" s="6">
        <v>67</v>
      </c>
      <c r="N55" s="7">
        <f>L55*M55/1000</f>
        <v>1.0049999999999999</v>
      </c>
      <c r="P55" s="6" t="s">
        <v>192</v>
      </c>
    </row>
    <row r="56" spans="12:16" x14ac:dyDescent="0.2">
      <c r="L56" s="6">
        <v>10</v>
      </c>
      <c r="M56" s="6">
        <v>93</v>
      </c>
      <c r="N56" s="7">
        <f>L56*M56/1000</f>
        <v>0.93</v>
      </c>
    </row>
    <row r="58" spans="12:16" x14ac:dyDescent="0.2">
      <c r="L58" s="95" t="s">
        <v>178</v>
      </c>
    </row>
    <row r="59" spans="12:16" x14ac:dyDescent="0.2">
      <c r="L59" s="6" t="s">
        <v>179</v>
      </c>
    </row>
    <row r="60" spans="12:16" x14ac:dyDescent="0.2">
      <c r="L60" s="6">
        <v>24</v>
      </c>
      <c r="M60" s="6">
        <v>35</v>
      </c>
      <c r="N60" s="7">
        <f>L60*M60/1000</f>
        <v>0.84</v>
      </c>
    </row>
    <row r="61" spans="12:16" x14ac:dyDescent="0.2">
      <c r="L61" s="6">
        <v>15</v>
      </c>
      <c r="M61" s="6">
        <v>47</v>
      </c>
      <c r="N61" s="7">
        <f>L61*M61/1000</f>
        <v>0.70499999999999996</v>
      </c>
      <c r="P61" s="6" t="s">
        <v>194</v>
      </c>
    </row>
    <row r="62" spans="12:16" x14ac:dyDescent="0.2">
      <c r="L62" s="6">
        <v>10</v>
      </c>
      <c r="M62" s="6">
        <v>63</v>
      </c>
      <c r="N62" s="7">
        <f>L62*M62/1000</f>
        <v>0.63</v>
      </c>
    </row>
    <row r="67" spans="12:13" x14ac:dyDescent="0.2">
      <c r="L67" s="95" t="s">
        <v>183</v>
      </c>
    </row>
    <row r="68" spans="12:13" x14ac:dyDescent="0.2">
      <c r="L68" s="6" t="s">
        <v>187</v>
      </c>
    </row>
    <row r="69" spans="12:13" x14ac:dyDescent="0.2">
      <c r="L69" s="6">
        <v>65.5</v>
      </c>
      <c r="M69" s="6" t="s">
        <v>185</v>
      </c>
    </row>
    <row r="70" spans="12:13" x14ac:dyDescent="0.2">
      <c r="L70" s="6">
        <v>62.7</v>
      </c>
      <c r="M70" s="6" t="s">
        <v>186</v>
      </c>
    </row>
    <row r="71" spans="12:13" x14ac:dyDescent="0.2">
      <c r="L71" s="6">
        <v>67.7</v>
      </c>
      <c r="M71" s="6" t="s">
        <v>188</v>
      </c>
    </row>
    <row r="72" spans="12:13" x14ac:dyDescent="0.2">
      <c r="L72" s="6">
        <v>61.7</v>
      </c>
      <c r="M72" s="6" t="s">
        <v>191</v>
      </c>
    </row>
  </sheetData>
  <sheetProtection sheet="1" objects="1" scenarios="1" selectLockedCells="1" selectUnlockedCells="1"/>
  <mergeCells count="2">
    <mergeCell ref="M1:N1"/>
    <mergeCell ref="O1:R1"/>
  </mergeCells>
  <phoneticPr fontId="0" type="noConversion"/>
  <pageMargins left="0.5" right="0.5" top="0.5" bottom="0.5" header="0.5" footer="0.5"/>
  <pageSetup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R42"/>
  <sheetViews>
    <sheetView workbookViewId="0">
      <selection activeCell="A145" sqref="A145:E145"/>
    </sheetView>
  </sheetViews>
  <sheetFormatPr defaultRowHeight="12.75" x14ac:dyDescent="0.2"/>
  <cols>
    <col min="1" max="1" width="9.140625" style="6"/>
    <col min="2" max="3" width="13.7109375" style="6" customWidth="1"/>
    <col min="4" max="10" width="9.140625" style="6"/>
    <col min="11" max="11" width="5.140625" style="6" customWidth="1"/>
    <col min="12" max="12" width="11.7109375" style="6" customWidth="1"/>
    <col min="13" max="13" width="12.5703125" style="6" customWidth="1"/>
    <col min="14" max="15" width="0" style="6" hidden="1" customWidth="1"/>
    <col min="16" max="16" width="11.7109375" style="6" customWidth="1"/>
    <col min="17" max="17" width="13.85546875" style="6" customWidth="1"/>
    <col min="18" max="18" width="9.140625" style="6" hidden="1" customWidth="1"/>
    <col min="19" max="16384" width="9.140625" style="6"/>
  </cols>
  <sheetData>
    <row r="2" spans="12:18" x14ac:dyDescent="0.2">
      <c r="L2" s="17" t="s">
        <v>38</v>
      </c>
      <c r="M2" s="18" t="s">
        <v>37</v>
      </c>
      <c r="N2" s="6" t="s">
        <v>41</v>
      </c>
      <c r="P2" s="18" t="s">
        <v>40</v>
      </c>
      <c r="Q2" s="6" t="s">
        <v>63</v>
      </c>
      <c r="R2" s="6" t="s">
        <v>42</v>
      </c>
    </row>
    <row r="3" spans="12:18" x14ac:dyDescent="0.2">
      <c r="L3" s="13">
        <v>7.46</v>
      </c>
      <c r="M3" s="73">
        <v>59.300402144772114</v>
      </c>
      <c r="N3" s="43">
        <f t="shared" ref="N3:N14" si="0">L3*M3/1000</f>
        <v>0.44238099999999997</v>
      </c>
      <c r="O3" s="19">
        <f t="shared" ref="O3:O14" si="1">(N3-M3)/M3</f>
        <v>-0.99254000000000009</v>
      </c>
      <c r="P3" s="7">
        <f t="shared" ref="P3:P14" si="2">L3*M3/1000</f>
        <v>0.44238099999999997</v>
      </c>
      <c r="Q3" s="22">
        <f xml:space="preserve"> 509.392176*L3^-1.076124</f>
        <v>58.597228052969797</v>
      </c>
      <c r="R3" s="19">
        <f t="shared" ref="R3:R14" si="3">(Q3-M3)/Q3</f>
        <v>-1.2000125520727248E-2</v>
      </c>
    </row>
    <row r="4" spans="12:18" x14ac:dyDescent="0.2">
      <c r="L4" s="13">
        <v>8.0299999999999994</v>
      </c>
      <c r="M4" s="73">
        <v>54.609838107098383</v>
      </c>
      <c r="N4" s="43">
        <f t="shared" si="0"/>
        <v>0.43851699999999999</v>
      </c>
      <c r="O4" s="19">
        <f t="shared" si="1"/>
        <v>-0.99197000000000002</v>
      </c>
      <c r="P4" s="7">
        <f t="shared" si="2"/>
        <v>0.43851699999999999</v>
      </c>
      <c r="Q4" s="22">
        <f t="shared" ref="Q4:Q14" si="4" xml:space="preserve"> 509.392176*L4^-1.076124</f>
        <v>54.133506406362947</v>
      </c>
      <c r="R4" s="19">
        <f t="shared" si="3"/>
        <v>-8.799202792439972E-3</v>
      </c>
    </row>
    <row r="5" spans="12:18" x14ac:dyDescent="0.2">
      <c r="L5" s="13">
        <v>9.02</v>
      </c>
      <c r="M5" s="73">
        <v>47.96567627494457</v>
      </c>
      <c r="N5" s="43">
        <f t="shared" si="0"/>
        <v>0.43265039999999999</v>
      </c>
      <c r="O5" s="19">
        <f t="shared" si="1"/>
        <v>-0.99097999999999997</v>
      </c>
      <c r="P5" s="7">
        <f t="shared" si="2"/>
        <v>0.43265039999999999</v>
      </c>
      <c r="Q5" s="22">
        <f t="shared" si="4"/>
        <v>47.767398574807196</v>
      </c>
      <c r="R5" s="19">
        <f t="shared" si="3"/>
        <v>-4.150900112905617E-3</v>
      </c>
    </row>
    <row r="6" spans="12:18" x14ac:dyDescent="0.2">
      <c r="L6" s="13">
        <v>9.98</v>
      </c>
      <c r="M6" s="73">
        <v>42.7</v>
      </c>
      <c r="N6" s="43">
        <f t="shared" si="0"/>
        <v>0.42614600000000008</v>
      </c>
      <c r="O6" s="19">
        <f t="shared" si="1"/>
        <v>-0.9900199999999999</v>
      </c>
      <c r="P6" s="7">
        <f t="shared" si="2"/>
        <v>0.42614600000000008</v>
      </c>
      <c r="Q6" s="22">
        <f t="shared" si="4"/>
        <v>42.841425743659542</v>
      </c>
      <c r="R6" s="19">
        <f t="shared" si="3"/>
        <v>3.3011446562436117E-3</v>
      </c>
    </row>
    <row r="7" spans="12:18" x14ac:dyDescent="0.2">
      <c r="L7" s="13">
        <v>11</v>
      </c>
      <c r="M7" s="73">
        <v>38.310378787878783</v>
      </c>
      <c r="N7" s="43">
        <f t="shared" si="0"/>
        <v>0.42141416666666665</v>
      </c>
      <c r="O7" s="19">
        <f t="shared" si="1"/>
        <v>-0.98899999999999999</v>
      </c>
      <c r="P7" s="7">
        <f t="shared" si="2"/>
        <v>0.42141416666666665</v>
      </c>
      <c r="Q7" s="22">
        <f t="shared" si="4"/>
        <v>38.581988586314033</v>
      </c>
      <c r="R7" s="19">
        <f t="shared" si="3"/>
        <v>7.0398081692346131E-3</v>
      </c>
    </row>
    <row r="8" spans="12:18" x14ac:dyDescent="0.2">
      <c r="L8" s="13">
        <v>12.98</v>
      </c>
      <c r="M8" s="73">
        <v>31.888983050847465</v>
      </c>
      <c r="N8" s="43">
        <f t="shared" si="0"/>
        <v>0.41391900000000009</v>
      </c>
      <c r="O8" s="19">
        <f t="shared" si="1"/>
        <v>-0.98702000000000001</v>
      </c>
      <c r="P8" s="7">
        <f t="shared" si="2"/>
        <v>0.41391900000000009</v>
      </c>
      <c r="Q8" s="22">
        <f t="shared" si="4"/>
        <v>32.287220153250672</v>
      </c>
      <c r="R8" s="19">
        <f t="shared" si="3"/>
        <v>1.233420221725447E-2</v>
      </c>
    </row>
    <row r="9" spans="12:18" x14ac:dyDescent="0.2">
      <c r="L9" s="13">
        <v>15.02</v>
      </c>
      <c r="M9" s="73">
        <v>27.321848646249446</v>
      </c>
      <c r="N9" s="43">
        <f t="shared" si="0"/>
        <v>0.41037416666666665</v>
      </c>
      <c r="O9" s="19">
        <f t="shared" si="1"/>
        <v>-0.98497999999999997</v>
      </c>
      <c r="P9" s="7">
        <f t="shared" si="2"/>
        <v>0.41037416666666665</v>
      </c>
      <c r="Q9" s="22">
        <f t="shared" si="4"/>
        <v>27.593673136925243</v>
      </c>
      <c r="R9" s="19">
        <f t="shared" si="3"/>
        <v>9.850971609576974E-3</v>
      </c>
    </row>
    <row r="10" spans="12:18" x14ac:dyDescent="0.2">
      <c r="L10" s="13">
        <v>17.98</v>
      </c>
      <c r="M10" s="73">
        <v>22.530431961438637</v>
      </c>
      <c r="N10" s="43">
        <f t="shared" si="0"/>
        <v>0.40509716666666667</v>
      </c>
      <c r="O10" s="19">
        <f t="shared" si="1"/>
        <v>-0.98202</v>
      </c>
      <c r="P10" s="7">
        <f t="shared" si="2"/>
        <v>0.40509716666666667</v>
      </c>
      <c r="Q10" s="22">
        <f t="shared" si="4"/>
        <v>22.737513638925421</v>
      </c>
      <c r="R10" s="19">
        <f t="shared" si="3"/>
        <v>9.1074899734098786E-3</v>
      </c>
    </row>
    <row r="11" spans="12:18" x14ac:dyDescent="0.2">
      <c r="L11" s="13">
        <v>21</v>
      </c>
      <c r="M11" s="73">
        <v>19.091396825396828</v>
      </c>
      <c r="N11" s="43">
        <f t="shared" si="0"/>
        <v>0.40091933333333341</v>
      </c>
      <c r="O11" s="19">
        <f t="shared" si="1"/>
        <v>-0.97899999999999998</v>
      </c>
      <c r="P11" s="7">
        <f t="shared" si="2"/>
        <v>0.40091933333333341</v>
      </c>
      <c r="Q11" s="22">
        <f t="shared" si="4"/>
        <v>19.238905163001423</v>
      </c>
      <c r="R11" s="19">
        <f t="shared" si="3"/>
        <v>7.6671898091306284E-3</v>
      </c>
    </row>
    <row r="12" spans="12:18" x14ac:dyDescent="0.2">
      <c r="L12" s="13">
        <v>23.99</v>
      </c>
      <c r="M12" s="73">
        <v>16.852355147978322</v>
      </c>
      <c r="N12" s="43">
        <f t="shared" si="0"/>
        <v>0.40428799999999987</v>
      </c>
      <c r="O12" s="19">
        <f t="shared" si="1"/>
        <v>-0.97600999999999993</v>
      </c>
      <c r="P12" s="7">
        <f t="shared" si="2"/>
        <v>0.40428799999999987</v>
      </c>
      <c r="Q12" s="22">
        <f t="shared" si="4"/>
        <v>16.671266713551805</v>
      </c>
      <c r="R12" s="19">
        <f t="shared" si="3"/>
        <v>-1.0862308038015673E-2</v>
      </c>
    </row>
    <row r="13" spans="12:18" x14ac:dyDescent="0.2">
      <c r="L13" s="13">
        <v>27.99</v>
      </c>
      <c r="M13" s="73">
        <v>14.195045849708229</v>
      </c>
      <c r="N13" s="43">
        <f t="shared" si="0"/>
        <v>0.3973193333333333</v>
      </c>
      <c r="O13" s="19">
        <f t="shared" si="1"/>
        <v>-0.97200999999999993</v>
      </c>
      <c r="P13" s="7">
        <f t="shared" si="2"/>
        <v>0.3973193333333333</v>
      </c>
      <c r="Q13" s="22">
        <f t="shared" si="4"/>
        <v>14.122049291881943</v>
      </c>
      <c r="R13" s="19">
        <f t="shared" si="3"/>
        <v>-5.1689776970434732E-3</v>
      </c>
    </row>
    <row r="14" spans="12:18" x14ac:dyDescent="0.2">
      <c r="L14" s="15">
        <v>31.74</v>
      </c>
      <c r="M14" s="74">
        <v>12.443226212980468</v>
      </c>
      <c r="N14" s="43">
        <f t="shared" si="0"/>
        <v>0.39494800000000002</v>
      </c>
      <c r="O14" s="19">
        <f t="shared" si="1"/>
        <v>-0.96826000000000001</v>
      </c>
      <c r="P14" s="7">
        <f t="shared" si="2"/>
        <v>0.39494800000000002</v>
      </c>
      <c r="Q14" s="22">
        <f t="shared" si="4"/>
        <v>12.334939461418006</v>
      </c>
      <c r="R14" s="19">
        <f t="shared" si="3"/>
        <v>-8.7788636418660807E-3</v>
      </c>
    </row>
    <row r="15" spans="12:18" x14ac:dyDescent="0.2">
      <c r="L15" s="42"/>
      <c r="M15"/>
      <c r="N15" s="43"/>
      <c r="O15" s="19"/>
      <c r="P15" s="7"/>
      <c r="Q15" s="22"/>
      <c r="R15" s="19"/>
    </row>
    <row r="16" spans="12:18" x14ac:dyDescent="0.2">
      <c r="L16" s="42"/>
      <c r="M16"/>
      <c r="N16" s="43"/>
      <c r="O16" s="19"/>
      <c r="P16" s="7"/>
      <c r="Q16" s="22"/>
      <c r="R16" s="19"/>
    </row>
    <row r="17" spans="12:18" x14ac:dyDescent="0.2">
      <c r="L17" s="42"/>
      <c r="M17"/>
      <c r="N17" s="43"/>
      <c r="O17" s="19"/>
      <c r="P17" s="7"/>
      <c r="Q17" s="22"/>
      <c r="R17" s="19"/>
    </row>
    <row r="18" spans="12:18" x14ac:dyDescent="0.2">
      <c r="L18" s="42"/>
      <c r="M18"/>
      <c r="N18" s="43"/>
      <c r="O18" s="19"/>
      <c r="P18" s="7"/>
      <c r="Q18" s="22"/>
      <c r="R18" s="19"/>
    </row>
    <row r="19" spans="12:18" x14ac:dyDescent="0.2">
      <c r="L19" s="42"/>
      <c r="M19"/>
      <c r="N19" s="43"/>
      <c r="O19" s="19"/>
      <c r="P19" s="7"/>
      <c r="Q19" s="22"/>
      <c r="R19" s="19"/>
    </row>
    <row r="20" spans="12:18" x14ac:dyDescent="0.2">
      <c r="L20" s="42"/>
      <c r="M20"/>
      <c r="N20" s="43"/>
      <c r="O20" s="19"/>
      <c r="P20" s="7"/>
      <c r="Q20" s="22"/>
      <c r="R20" s="19"/>
    </row>
    <row r="21" spans="12:18" x14ac:dyDescent="0.2">
      <c r="L21" s="42"/>
      <c r="M21"/>
      <c r="N21" s="43"/>
      <c r="O21" s="19"/>
      <c r="P21" s="7"/>
      <c r="Q21" s="22"/>
      <c r="R21" s="19"/>
    </row>
    <row r="22" spans="12:18" x14ac:dyDescent="0.2">
      <c r="L22" s="42"/>
      <c r="M22"/>
      <c r="N22" s="43"/>
      <c r="O22" s="19"/>
      <c r="P22" s="7"/>
      <c r="Q22" s="22"/>
      <c r="R22" s="19"/>
    </row>
    <row r="23" spans="12:18" x14ac:dyDescent="0.2">
      <c r="L23" s="42"/>
      <c r="M23"/>
      <c r="N23" s="43"/>
      <c r="O23" s="19"/>
      <c r="P23" s="7"/>
      <c r="Q23" s="22"/>
      <c r="R23" s="19"/>
    </row>
    <row r="24" spans="12:18" x14ac:dyDescent="0.2">
      <c r="L24" s="42"/>
      <c r="M24"/>
      <c r="N24" s="43"/>
      <c r="O24" s="19"/>
      <c r="P24" s="7"/>
      <c r="Q24" s="22"/>
      <c r="R24" s="19"/>
    </row>
    <row r="25" spans="12:18" x14ac:dyDescent="0.2">
      <c r="L25" s="42"/>
      <c r="M25"/>
      <c r="N25" s="43"/>
      <c r="O25" s="19"/>
      <c r="P25" s="7"/>
      <c r="Q25" s="22"/>
      <c r="R25" s="19"/>
    </row>
    <row r="26" spans="12:18" x14ac:dyDescent="0.2">
      <c r="L26" s="42"/>
      <c r="M26"/>
      <c r="N26" s="43"/>
      <c r="O26" s="19"/>
      <c r="P26" s="7"/>
      <c r="Q26" s="22"/>
      <c r="R26" s="19"/>
    </row>
    <row r="27" spans="12:18" x14ac:dyDescent="0.2">
      <c r="L27" s="42"/>
      <c r="M27"/>
      <c r="N27" s="43"/>
      <c r="O27" s="19"/>
      <c r="P27" s="7"/>
      <c r="Q27" s="22"/>
      <c r="R27" s="19"/>
    </row>
    <row r="28" spans="12:18" x14ac:dyDescent="0.2">
      <c r="L28" s="42"/>
      <c r="M28"/>
      <c r="N28" s="43"/>
      <c r="O28" s="19"/>
      <c r="P28" s="7"/>
      <c r="Q28" s="22"/>
      <c r="R28" s="19"/>
    </row>
    <row r="29" spans="12:18" x14ac:dyDescent="0.2">
      <c r="L29" s="42"/>
      <c r="M29"/>
      <c r="N29" s="43"/>
      <c r="O29" s="19"/>
      <c r="P29" s="7"/>
      <c r="Q29" s="22"/>
      <c r="R29" s="19"/>
    </row>
    <row r="30" spans="12:18" x14ac:dyDescent="0.2">
      <c r="L30" s="42"/>
      <c r="M30"/>
      <c r="N30" s="43"/>
      <c r="O30" s="19"/>
      <c r="P30" s="7"/>
      <c r="Q30" s="22"/>
      <c r="R30" s="19"/>
    </row>
    <row r="34" spans="1:12" x14ac:dyDescent="0.2">
      <c r="L34" s="11" t="s">
        <v>9</v>
      </c>
    </row>
    <row r="35" spans="1:12" x14ac:dyDescent="0.2">
      <c r="L35" s="7" t="s">
        <v>12</v>
      </c>
    </row>
    <row r="36" spans="1:12" x14ac:dyDescent="0.2">
      <c r="L36" s="7" t="s">
        <v>13</v>
      </c>
    </row>
    <row r="37" spans="1:12" x14ac:dyDescent="0.2">
      <c r="L37" s="6" t="s">
        <v>18</v>
      </c>
    </row>
    <row r="38" spans="1:12" x14ac:dyDescent="0.2">
      <c r="L38" s="6" t="s">
        <v>17</v>
      </c>
    </row>
    <row r="40" spans="1:12" x14ac:dyDescent="0.2">
      <c r="L40" s="11"/>
    </row>
    <row r="41" spans="1:12" x14ac:dyDescent="0.2">
      <c r="B41" s="17" t="s">
        <v>38</v>
      </c>
      <c r="C41" s="18" t="s">
        <v>63</v>
      </c>
      <c r="L41" s="7"/>
    </row>
    <row r="42" spans="1:12" x14ac:dyDescent="0.2">
      <c r="A42" s="95" t="s">
        <v>145</v>
      </c>
      <c r="B42" s="116">
        <v>22.5</v>
      </c>
      <c r="C42" s="22">
        <f xml:space="preserve"> 509.392176*B42^-1.076124</f>
        <v>17.862251915114481</v>
      </c>
      <c r="F42" s="22"/>
      <c r="G42" s="22"/>
      <c r="H42" s="22"/>
      <c r="L42" s="7"/>
    </row>
  </sheetData>
  <sheetProtection sheet="1" objects="1" scenarios="1" selectLockedCells="1" selectUnlockedCells="1"/>
  <phoneticPr fontId="0" type="noConversion"/>
  <pageMargins left="0.5" right="0.5" top="0.5" bottom="0.5"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2:V45"/>
  <sheetViews>
    <sheetView workbookViewId="0">
      <selection activeCell="A145" sqref="A145:E145"/>
    </sheetView>
  </sheetViews>
  <sheetFormatPr defaultRowHeight="12.75" x14ac:dyDescent="0.2"/>
  <cols>
    <col min="1" max="1" width="9.140625" style="6"/>
    <col min="2" max="3" width="13.7109375" style="6" customWidth="1"/>
    <col min="4" max="10" width="9.140625" style="6"/>
    <col min="11" max="11" width="5.140625" style="6" customWidth="1"/>
    <col min="12" max="12" width="11.7109375" style="6" customWidth="1"/>
    <col min="13" max="13" width="12.5703125" style="6" customWidth="1"/>
    <col min="14" max="15" width="0" style="6" hidden="1" customWidth="1"/>
    <col min="16" max="16" width="11.7109375" style="6" customWidth="1"/>
    <col min="17" max="17" width="13.85546875" style="6" customWidth="1"/>
    <col min="18" max="18" width="0" style="6" hidden="1" customWidth="1"/>
    <col min="19" max="19" width="9.140625" style="6"/>
    <col min="20" max="20" width="4" style="6" customWidth="1"/>
    <col min="21" max="21" width="11.85546875" style="6" customWidth="1"/>
    <col min="22" max="16384" width="9.140625" style="6"/>
  </cols>
  <sheetData>
    <row r="2" spans="12:22" x14ac:dyDescent="0.2">
      <c r="L2" s="17" t="s">
        <v>38</v>
      </c>
      <c r="M2" s="18" t="s">
        <v>37</v>
      </c>
      <c r="N2" s="6" t="s">
        <v>41</v>
      </c>
      <c r="P2" s="18" t="s">
        <v>40</v>
      </c>
      <c r="Q2" s="18" t="s">
        <v>63</v>
      </c>
      <c r="R2" s="6" t="s">
        <v>42</v>
      </c>
      <c r="U2" s="6" t="s">
        <v>126</v>
      </c>
      <c r="V2" s="6" t="s">
        <v>127</v>
      </c>
    </row>
    <row r="3" spans="12:22" x14ac:dyDescent="0.2">
      <c r="L3" s="13">
        <v>7.52</v>
      </c>
      <c r="M3" s="14">
        <v>227</v>
      </c>
      <c r="N3" s="6">
        <f>100/SINH(L3/16)+22</f>
        <v>227.12990403833686</v>
      </c>
      <c r="O3" s="19">
        <f>(N3-M3)/M3</f>
        <v>5.7226448606546518E-4</v>
      </c>
      <c r="P3" s="7">
        <f>L3*M3/1000</f>
        <v>1.7070399999999999</v>
      </c>
      <c r="Q3" s="22">
        <f xml:space="preserve"> 1756.007* L3^-1.01472</f>
        <v>226.67857593400743</v>
      </c>
      <c r="R3" s="19">
        <f>(Q3-M3)/Q3</f>
        <v>-1.4179728484184108E-3</v>
      </c>
      <c r="S3" s="7">
        <f>L3*Q3/1000</f>
        <v>1.7046228910237358</v>
      </c>
      <c r="U3" s="22">
        <f>1956.67419*L3^(-1.04341133)</f>
        <v>238.37620089500564</v>
      </c>
      <c r="V3" s="7">
        <f>L3*U3/1000</f>
        <v>1.7925890307304424</v>
      </c>
    </row>
    <row r="4" spans="12:22" x14ac:dyDescent="0.2">
      <c r="L4" s="13">
        <v>8.01</v>
      </c>
      <c r="M4" s="14">
        <v>213</v>
      </c>
      <c r="N4" s="6">
        <f t="shared" ref="N4:N30" si="0">100/SINH(L4/16)+22</f>
        <v>213.64424442550964</v>
      </c>
      <c r="O4" s="19">
        <f t="shared" ref="O4:O30" si="1">(N4-M4)/M4</f>
        <v>3.0246217160077018E-3</v>
      </c>
      <c r="P4" s="7">
        <f t="shared" ref="P4:P30" si="2">L4*M4/1000</f>
        <v>1.7061299999999999</v>
      </c>
      <c r="Q4" s="22">
        <f t="shared" ref="Q4:Q30" si="3" xml:space="preserve"> 1756.007* L4^-1.01472</f>
        <v>212.61419482521072</v>
      </c>
      <c r="R4" s="19">
        <f t="shared" ref="R4:R30" si="4">(Q4-M4)/Q4</f>
        <v>-1.8145786319979807E-3</v>
      </c>
      <c r="S4" s="7">
        <f t="shared" ref="S4:S30" si="5">L4*Q4/1000</f>
        <v>1.7030397005499378</v>
      </c>
      <c r="U4" s="22">
        <f t="shared" ref="U4:U30" si="6">1956.67419*L4^(-1.04341133)</f>
        <v>223.1814582686996</v>
      </c>
      <c r="V4" s="7">
        <f t="shared" ref="V4:V30" si="7">L4*U4/1000</f>
        <v>1.7876834807322837</v>
      </c>
    </row>
    <row r="5" spans="12:22" x14ac:dyDescent="0.2">
      <c r="L5" s="13">
        <v>8.49</v>
      </c>
      <c r="M5" s="14">
        <v>202</v>
      </c>
      <c r="N5" s="6">
        <f t="shared" si="0"/>
        <v>201.89538363433346</v>
      </c>
      <c r="O5" s="19">
        <f t="shared" si="1"/>
        <v>-5.1790280032942674E-4</v>
      </c>
      <c r="P5" s="7">
        <f t="shared" si="2"/>
        <v>1.7149799999999999</v>
      </c>
      <c r="Q5" s="22">
        <f t="shared" si="3"/>
        <v>200.42183374746983</v>
      </c>
      <c r="R5" s="19">
        <f t="shared" si="4"/>
        <v>-7.8742231972522801E-3</v>
      </c>
      <c r="S5" s="7">
        <f t="shared" si="5"/>
        <v>1.701581368516019</v>
      </c>
      <c r="U5" s="22">
        <f t="shared" si="6"/>
        <v>210.03211604489144</v>
      </c>
      <c r="V5" s="7">
        <f t="shared" si="7"/>
        <v>1.7831726652211284</v>
      </c>
    </row>
    <row r="6" spans="12:22" x14ac:dyDescent="0.2">
      <c r="L6" s="13">
        <v>9.01</v>
      </c>
      <c r="M6" s="14">
        <v>191</v>
      </c>
      <c r="N6" s="6">
        <f t="shared" si="0"/>
        <v>190.5310289207105</v>
      </c>
      <c r="O6" s="19">
        <f t="shared" si="1"/>
        <v>-2.4553459648665068E-3</v>
      </c>
      <c r="P6" s="7">
        <f t="shared" si="2"/>
        <v>1.7209099999999999</v>
      </c>
      <c r="Q6" s="22">
        <f t="shared" si="3"/>
        <v>188.68957353194281</v>
      </c>
      <c r="R6" s="19">
        <f t="shared" si="4"/>
        <v>-1.224459001528275E-2</v>
      </c>
      <c r="S6" s="7">
        <f t="shared" si="5"/>
        <v>1.7000930575228046</v>
      </c>
      <c r="U6" s="22">
        <f t="shared" si="6"/>
        <v>197.40032003634758</v>
      </c>
      <c r="V6" s="7">
        <f t="shared" si="7"/>
        <v>1.7785768835274915</v>
      </c>
    </row>
    <row r="7" spans="12:22" x14ac:dyDescent="0.2">
      <c r="L7" s="13">
        <v>9.51</v>
      </c>
      <c r="M7" s="14">
        <v>179</v>
      </c>
      <c r="N7" s="6">
        <f t="shared" si="0"/>
        <v>180.7313234612557</v>
      </c>
      <c r="O7" s="19">
        <f t="shared" si="1"/>
        <v>9.6721981075737328E-3</v>
      </c>
      <c r="P7" s="7">
        <f t="shared" si="2"/>
        <v>1.7022899999999999</v>
      </c>
      <c r="Q7" s="22">
        <f t="shared" si="3"/>
        <v>178.62691948766883</v>
      </c>
      <c r="R7" s="19">
        <f t="shared" si="4"/>
        <v>-2.088601837848556E-3</v>
      </c>
      <c r="S7" s="7">
        <f t="shared" si="5"/>
        <v>1.6987420043277304</v>
      </c>
      <c r="U7" s="22">
        <f t="shared" si="6"/>
        <v>186.58377786013233</v>
      </c>
      <c r="V7" s="7">
        <f t="shared" si="7"/>
        <v>1.7744117274498585</v>
      </c>
    </row>
    <row r="8" spans="12:22" x14ac:dyDescent="0.2">
      <c r="L8" s="13">
        <v>10.02</v>
      </c>
      <c r="M8" s="14">
        <v>170.2</v>
      </c>
      <c r="N8" s="6">
        <f t="shared" si="0"/>
        <v>171.70172433051107</v>
      </c>
      <c r="O8" s="19">
        <f t="shared" si="1"/>
        <v>8.8232921886667523E-3</v>
      </c>
      <c r="P8" s="7">
        <f t="shared" si="2"/>
        <v>1.7054039999999997</v>
      </c>
      <c r="Q8" s="22">
        <f t="shared" si="3"/>
        <v>169.4048143278055</v>
      </c>
      <c r="R8" s="19">
        <f t="shared" si="4"/>
        <v>-4.6939968934753776E-3</v>
      </c>
      <c r="S8" s="7">
        <f t="shared" si="5"/>
        <v>1.697436239564611</v>
      </c>
      <c r="U8" s="22">
        <f t="shared" si="6"/>
        <v>176.68586047704514</v>
      </c>
      <c r="V8" s="7">
        <f t="shared" si="7"/>
        <v>1.7703923219799922</v>
      </c>
    </row>
    <row r="9" spans="12:22" x14ac:dyDescent="0.2">
      <c r="L9" s="13">
        <v>10.99</v>
      </c>
      <c r="M9" s="14">
        <v>154.19999999999999</v>
      </c>
      <c r="N9" s="6">
        <f t="shared" si="0"/>
        <v>156.73920661018445</v>
      </c>
      <c r="O9" s="19">
        <f t="shared" si="1"/>
        <v>1.6466968937642445E-2</v>
      </c>
      <c r="P9" s="7">
        <f t="shared" si="2"/>
        <v>1.694658</v>
      </c>
      <c r="Q9" s="22">
        <f t="shared" si="3"/>
        <v>154.24285820640833</v>
      </c>
      <c r="R9" s="19">
        <f t="shared" si="4"/>
        <v>2.7786185309784027E-4</v>
      </c>
      <c r="S9" s="7">
        <f t="shared" si="5"/>
        <v>1.6951290116884274</v>
      </c>
      <c r="U9" s="22">
        <f t="shared" si="6"/>
        <v>160.44630856156516</v>
      </c>
      <c r="V9" s="7">
        <f t="shared" si="7"/>
        <v>1.7633049310916014</v>
      </c>
    </row>
    <row r="10" spans="12:22" x14ac:dyDescent="0.2">
      <c r="L10" s="13">
        <v>12.03</v>
      </c>
      <c r="M10" s="14">
        <v>140.19999999999999</v>
      </c>
      <c r="N10" s="6">
        <f t="shared" si="0"/>
        <v>143.24949398097601</v>
      </c>
      <c r="O10" s="19">
        <f t="shared" si="1"/>
        <v>2.1751026968445251E-2</v>
      </c>
      <c r="P10" s="7">
        <f t="shared" si="2"/>
        <v>1.6866059999999998</v>
      </c>
      <c r="Q10" s="22">
        <f t="shared" si="3"/>
        <v>140.72106246004907</v>
      </c>
      <c r="R10" s="19">
        <f t="shared" si="4"/>
        <v>3.7028036239920427E-3</v>
      </c>
      <c r="S10" s="7">
        <f t="shared" si="5"/>
        <v>1.6928743813943903</v>
      </c>
      <c r="U10" s="22">
        <f t="shared" si="6"/>
        <v>146.00143401068385</v>
      </c>
      <c r="V10" s="7">
        <f t="shared" si="7"/>
        <v>1.7563972511485266</v>
      </c>
    </row>
    <row r="11" spans="12:22" x14ac:dyDescent="0.2">
      <c r="L11" s="13">
        <v>13.01</v>
      </c>
      <c r="M11" s="14">
        <v>129.1</v>
      </c>
      <c r="N11" s="6">
        <f t="shared" si="0"/>
        <v>132.40734817443871</v>
      </c>
      <c r="O11" s="19">
        <f t="shared" si="1"/>
        <v>2.5618498640113983E-2</v>
      </c>
      <c r="P11" s="7">
        <f t="shared" si="2"/>
        <v>1.6795909999999998</v>
      </c>
      <c r="Q11" s="22">
        <f t="shared" si="3"/>
        <v>129.97109696908183</v>
      </c>
      <c r="R11" s="19">
        <f t="shared" si="4"/>
        <v>6.702236030900424E-3</v>
      </c>
      <c r="S11" s="7">
        <f t="shared" si="5"/>
        <v>1.6909239715677544</v>
      </c>
      <c r="U11" s="22">
        <f t="shared" si="6"/>
        <v>134.54543290423277</v>
      </c>
      <c r="V11" s="7">
        <f t="shared" si="7"/>
        <v>1.7504360820840683</v>
      </c>
    </row>
    <row r="12" spans="12:22" x14ac:dyDescent="0.2">
      <c r="L12" s="13">
        <v>14</v>
      </c>
      <c r="M12" s="14">
        <v>119.9</v>
      </c>
      <c r="N12" s="6">
        <f t="shared" si="0"/>
        <v>122.90749774205557</v>
      </c>
      <c r="O12" s="19">
        <f t="shared" si="1"/>
        <v>2.508338400379952E-2</v>
      </c>
      <c r="P12" s="7">
        <f t="shared" si="2"/>
        <v>1.6786000000000001</v>
      </c>
      <c r="Q12" s="22">
        <f t="shared" si="3"/>
        <v>120.64996560769143</v>
      </c>
      <c r="R12" s="19">
        <f t="shared" si="4"/>
        <v>6.2160449355620189E-3</v>
      </c>
      <c r="S12" s="7">
        <f t="shared" si="5"/>
        <v>1.68909951850768</v>
      </c>
      <c r="U12" s="22">
        <f t="shared" si="6"/>
        <v>124.63371440856126</v>
      </c>
      <c r="V12" s="7">
        <f t="shared" si="7"/>
        <v>1.7448720017198578</v>
      </c>
    </row>
    <row r="13" spans="12:22" x14ac:dyDescent="0.2">
      <c r="L13" s="13">
        <v>14.99</v>
      </c>
      <c r="M13" s="14">
        <v>111.7</v>
      </c>
      <c r="N13" s="6">
        <f t="shared" si="0"/>
        <v>114.58644131228081</v>
      </c>
      <c r="O13" s="19">
        <f t="shared" si="1"/>
        <v>2.5841014434026935E-2</v>
      </c>
      <c r="P13" s="7">
        <f t="shared" si="2"/>
        <v>1.674383</v>
      </c>
      <c r="Q13" s="22">
        <f t="shared" si="3"/>
        <v>112.56848208079838</v>
      </c>
      <c r="R13" s="19">
        <f t="shared" si="4"/>
        <v>7.7151442814606093E-3</v>
      </c>
      <c r="S13" s="7">
        <f t="shared" si="5"/>
        <v>1.6874015463911676</v>
      </c>
      <c r="U13" s="22">
        <f t="shared" si="6"/>
        <v>116.05764955874055</v>
      </c>
      <c r="V13" s="7">
        <f t="shared" si="7"/>
        <v>1.7397041668855209</v>
      </c>
    </row>
    <row r="14" spans="12:22" x14ac:dyDescent="0.2">
      <c r="L14" s="13">
        <v>16.010000000000002</v>
      </c>
      <c r="M14" s="14">
        <v>104.4</v>
      </c>
      <c r="N14" s="6">
        <f t="shared" si="0"/>
        <v>107.02202314075747</v>
      </c>
      <c r="O14" s="19">
        <f t="shared" si="1"/>
        <v>2.5115164183500602E-2</v>
      </c>
      <c r="P14" s="7">
        <f t="shared" si="2"/>
        <v>1.6714440000000002</v>
      </c>
      <c r="Q14" s="22">
        <f t="shared" si="3"/>
        <v>105.29464155134445</v>
      </c>
      <c r="R14" s="19">
        <f t="shared" si="4"/>
        <v>8.496553463342181E-3</v>
      </c>
      <c r="S14" s="7">
        <f t="shared" si="5"/>
        <v>1.6857672112370248</v>
      </c>
      <c r="U14" s="22">
        <f t="shared" si="6"/>
        <v>108.35350263816107</v>
      </c>
      <c r="V14" s="7">
        <f t="shared" si="7"/>
        <v>1.7347395772369589</v>
      </c>
    </row>
    <row r="15" spans="12:22" x14ac:dyDescent="0.2">
      <c r="L15" s="13">
        <v>17.02</v>
      </c>
      <c r="M15" s="14">
        <v>98.4</v>
      </c>
      <c r="N15" s="6">
        <f t="shared" si="0"/>
        <v>100.36818116059558</v>
      </c>
      <c r="O15" s="19">
        <f t="shared" si="1"/>
        <v>2.0001841062963183E-2</v>
      </c>
      <c r="P15" s="7">
        <f t="shared" si="2"/>
        <v>1.674768</v>
      </c>
      <c r="Q15" s="22">
        <f t="shared" si="3"/>
        <v>98.95710065277342</v>
      </c>
      <c r="R15" s="19">
        <f t="shared" si="4"/>
        <v>5.6297188286488116E-3</v>
      </c>
      <c r="S15" s="7">
        <f t="shared" si="5"/>
        <v>1.6842498531102035</v>
      </c>
      <c r="U15" s="22">
        <f t="shared" si="6"/>
        <v>101.65327362267719</v>
      </c>
      <c r="V15" s="7">
        <f t="shared" si="7"/>
        <v>1.7301387170579658</v>
      </c>
    </row>
    <row r="16" spans="12:22" x14ac:dyDescent="0.2">
      <c r="L16" s="13">
        <v>17.989999999999998</v>
      </c>
      <c r="M16" s="14">
        <v>92.7</v>
      </c>
      <c r="N16" s="6">
        <f t="shared" si="0"/>
        <v>94.636493584390294</v>
      </c>
      <c r="O16" s="19">
        <f t="shared" si="1"/>
        <v>2.088989842923723E-2</v>
      </c>
      <c r="P16" s="7">
        <f t="shared" si="2"/>
        <v>1.667673</v>
      </c>
      <c r="Q16" s="22">
        <f t="shared" si="3"/>
        <v>93.545095078611936</v>
      </c>
      <c r="R16" s="19">
        <f t="shared" si="4"/>
        <v>9.0340928928635544E-3</v>
      </c>
      <c r="S16" s="7">
        <f t="shared" si="5"/>
        <v>1.6828762604642287</v>
      </c>
      <c r="U16" s="22">
        <f t="shared" si="6"/>
        <v>95.941119337294424</v>
      </c>
      <c r="V16" s="7">
        <f t="shared" si="7"/>
        <v>1.7259807368779265</v>
      </c>
    </row>
    <row r="17" spans="12:22" x14ac:dyDescent="0.2">
      <c r="L17" s="13">
        <v>19.010000000000002</v>
      </c>
      <c r="M17" s="14">
        <v>88.4</v>
      </c>
      <c r="N17" s="6">
        <f t="shared" si="0"/>
        <v>89.201331875038903</v>
      </c>
      <c r="O17" s="19">
        <f t="shared" si="1"/>
        <v>9.0648402153721448E-3</v>
      </c>
      <c r="P17" s="7">
        <f t="shared" si="2"/>
        <v>1.6804840000000001</v>
      </c>
      <c r="Q17" s="22">
        <f t="shared" si="3"/>
        <v>88.454006549348549</v>
      </c>
      <c r="R17" s="19">
        <f t="shared" si="4"/>
        <v>6.1056080391805193E-4</v>
      </c>
      <c r="S17" s="7">
        <f t="shared" si="5"/>
        <v>1.6815106645031159</v>
      </c>
      <c r="U17" s="22">
        <f t="shared" si="6"/>
        <v>90.576197553636604</v>
      </c>
      <c r="V17" s="7">
        <f t="shared" si="7"/>
        <v>1.7218535154946319</v>
      </c>
    </row>
    <row r="18" spans="12:22" x14ac:dyDescent="0.2">
      <c r="L18" s="13">
        <v>19.97</v>
      </c>
      <c r="M18" s="14">
        <v>83.6</v>
      </c>
      <c r="N18" s="6">
        <f t="shared" si="0"/>
        <v>84.563302357538745</v>
      </c>
      <c r="O18" s="19">
        <f t="shared" si="1"/>
        <v>1.1522755472951569E-2</v>
      </c>
      <c r="P18" s="7">
        <f t="shared" si="2"/>
        <v>1.6694919999999998</v>
      </c>
      <c r="Q18" s="22">
        <f t="shared" si="3"/>
        <v>84.140795332014704</v>
      </c>
      <c r="R18" s="19">
        <f t="shared" si="4"/>
        <v>6.4272667007812681E-3</v>
      </c>
      <c r="S18" s="7">
        <f t="shared" si="5"/>
        <v>1.6802916827803336</v>
      </c>
      <c r="U18" s="22">
        <f t="shared" si="6"/>
        <v>86.037802640158702</v>
      </c>
      <c r="V18" s="7">
        <f t="shared" si="7"/>
        <v>1.718174918723969</v>
      </c>
    </row>
    <row r="19" spans="12:22" x14ac:dyDescent="0.2">
      <c r="L19" s="13">
        <v>20.97</v>
      </c>
      <c r="M19" s="14">
        <v>79.900000000000006</v>
      </c>
      <c r="N19" s="6">
        <f t="shared" si="0"/>
        <v>80.159158134396961</v>
      </c>
      <c r="O19" s="19">
        <f t="shared" si="1"/>
        <v>3.2435310938292252E-3</v>
      </c>
      <c r="P19" s="7">
        <f t="shared" si="2"/>
        <v>1.675503</v>
      </c>
      <c r="Q19" s="22">
        <f t="shared" si="3"/>
        <v>80.070747604604279</v>
      </c>
      <c r="R19" s="19">
        <f t="shared" si="4"/>
        <v>2.1324592277748937E-3</v>
      </c>
      <c r="S19" s="7">
        <f t="shared" si="5"/>
        <v>1.6790835772685515</v>
      </c>
      <c r="U19" s="22">
        <f t="shared" si="6"/>
        <v>81.761291003917734</v>
      </c>
      <c r="V19" s="7">
        <f t="shared" si="7"/>
        <v>1.7145342723521548</v>
      </c>
    </row>
    <row r="20" spans="12:22" x14ac:dyDescent="0.2">
      <c r="L20" s="13">
        <v>22</v>
      </c>
      <c r="M20" s="14">
        <v>76.2</v>
      </c>
      <c r="N20" s="6">
        <f t="shared" si="0"/>
        <v>76.021391157029115</v>
      </c>
      <c r="O20" s="19">
        <f t="shared" si="1"/>
        <v>-2.3439480704840984E-3</v>
      </c>
      <c r="P20" s="7">
        <f t="shared" si="2"/>
        <v>1.6764000000000001</v>
      </c>
      <c r="Q20" s="22">
        <f t="shared" si="3"/>
        <v>76.268130345612008</v>
      </c>
      <c r="R20" s="19">
        <f t="shared" si="4"/>
        <v>8.9330032483121713E-4</v>
      </c>
      <c r="S20" s="7">
        <f t="shared" si="5"/>
        <v>1.6778988676034641</v>
      </c>
      <c r="U20" s="22">
        <f t="shared" si="6"/>
        <v>77.771322028846029</v>
      </c>
      <c r="V20" s="7">
        <f t="shared" si="7"/>
        <v>1.7109690846346128</v>
      </c>
    </row>
    <row r="21" spans="12:22" x14ac:dyDescent="0.2">
      <c r="L21" s="13">
        <v>23</v>
      </c>
      <c r="M21" s="14">
        <v>72.900000000000006</v>
      </c>
      <c r="N21" s="6">
        <f t="shared" si="0"/>
        <v>72.344400543381056</v>
      </c>
      <c r="O21" s="19">
        <f t="shared" si="1"/>
        <v>-7.6213917231680341E-3</v>
      </c>
      <c r="P21" s="7">
        <f t="shared" si="2"/>
        <v>1.6767000000000001</v>
      </c>
      <c r="Q21" s="22">
        <f t="shared" si="3"/>
        <v>72.904405532415581</v>
      </c>
      <c r="R21" s="19">
        <f t="shared" si="4"/>
        <v>6.0428891551911986E-5</v>
      </c>
      <c r="S21" s="7">
        <f t="shared" si="5"/>
        <v>1.6768013272455582</v>
      </c>
      <c r="U21" s="22">
        <f t="shared" si="6"/>
        <v>74.246547558351466</v>
      </c>
      <c r="V21" s="7">
        <f t="shared" si="7"/>
        <v>1.7076705938420838</v>
      </c>
    </row>
    <row r="22" spans="12:22" x14ac:dyDescent="0.2">
      <c r="L22" s="13">
        <v>23.98</v>
      </c>
      <c r="M22" s="14">
        <v>69.8</v>
      </c>
      <c r="N22" s="6">
        <f t="shared" si="0"/>
        <v>69.029154090727616</v>
      </c>
      <c r="O22" s="19">
        <f t="shared" si="1"/>
        <v>-1.1043637668658759E-2</v>
      </c>
      <c r="P22" s="7">
        <f t="shared" si="2"/>
        <v>1.6738039999999998</v>
      </c>
      <c r="Q22" s="22">
        <f t="shared" si="3"/>
        <v>69.882057650552852</v>
      </c>
      <c r="R22" s="19">
        <f t="shared" si="4"/>
        <v>1.1742306009818214E-3</v>
      </c>
      <c r="S22" s="7">
        <f t="shared" si="5"/>
        <v>1.6757717424602574</v>
      </c>
      <c r="U22" s="22">
        <f t="shared" si="6"/>
        <v>71.083409351392774</v>
      </c>
      <c r="V22" s="7">
        <f t="shared" si="7"/>
        <v>1.7045801562463987</v>
      </c>
    </row>
    <row r="23" spans="12:22" x14ac:dyDescent="0.2">
      <c r="L23" s="13">
        <v>24.98</v>
      </c>
      <c r="M23" s="14">
        <v>67.099999999999994</v>
      </c>
      <c r="N23" s="6">
        <f>100/SINH(L23/16)+22</f>
        <v>65.908758316398092</v>
      </c>
      <c r="O23" s="19">
        <f>(N23-M23)/M23</f>
        <v>-1.7753229263813741E-2</v>
      </c>
      <c r="P23" s="7">
        <f>L23*M23/1000</f>
        <v>1.6761579999999998</v>
      </c>
      <c r="Q23" s="22">
        <f t="shared" si="3"/>
        <v>67.044205431719107</v>
      </c>
      <c r="R23" s="19">
        <f>(Q23-M23)/Q23</f>
        <v>-8.3220567566740053E-4</v>
      </c>
      <c r="S23" s="7">
        <f t="shared" si="5"/>
        <v>1.6747642516843433</v>
      </c>
      <c r="U23" s="22">
        <f t="shared" si="6"/>
        <v>68.116878195275305</v>
      </c>
      <c r="V23" s="7">
        <f t="shared" si="7"/>
        <v>1.7015596173179772</v>
      </c>
    </row>
    <row r="24" spans="12:22" x14ac:dyDescent="0.2">
      <c r="L24" s="13">
        <v>26</v>
      </c>
      <c r="M24" s="14">
        <v>64.5</v>
      </c>
      <c r="N24" s="6">
        <f t="shared" si="0"/>
        <v>62.970951218446181</v>
      </c>
      <c r="O24" s="19">
        <f t="shared" si="1"/>
        <v>-2.3706182659749123E-2</v>
      </c>
      <c r="P24" s="7">
        <f t="shared" si="2"/>
        <v>1.677</v>
      </c>
      <c r="Q24" s="22">
        <f t="shared" si="3"/>
        <v>64.376073943262426</v>
      </c>
      <c r="R24" s="19">
        <f t="shared" si="4"/>
        <v>-1.9250328444508037E-3</v>
      </c>
      <c r="S24" s="7">
        <f t="shared" si="5"/>
        <v>1.673777922524823</v>
      </c>
      <c r="U24" s="22">
        <f t="shared" si="6"/>
        <v>65.330998136549113</v>
      </c>
      <c r="V24" s="7">
        <f t="shared" si="7"/>
        <v>1.6986059515502769</v>
      </c>
    </row>
    <row r="25" spans="12:22" x14ac:dyDescent="0.2">
      <c r="L25" s="13">
        <v>27.01</v>
      </c>
      <c r="M25" s="14">
        <v>62</v>
      </c>
      <c r="N25" s="6">
        <f t="shared" si="0"/>
        <v>60.281447245889126</v>
      </c>
      <c r="O25" s="19">
        <f t="shared" si="1"/>
        <v>-2.7718592808239902E-2</v>
      </c>
      <c r="P25" s="7">
        <f t="shared" si="2"/>
        <v>1.6746200000000002</v>
      </c>
      <c r="Q25" s="22">
        <f t="shared" si="3"/>
        <v>61.93406944593584</v>
      </c>
      <c r="R25" s="19">
        <f t="shared" si="4"/>
        <v>-1.0645280481966799E-3</v>
      </c>
      <c r="S25" s="7">
        <f t="shared" si="5"/>
        <v>1.6728392157347272</v>
      </c>
      <c r="U25" s="22">
        <f t="shared" si="6"/>
        <v>62.784081635811511</v>
      </c>
      <c r="V25" s="7">
        <f t="shared" si="7"/>
        <v>1.695798044983269</v>
      </c>
    </row>
    <row r="26" spans="12:22" x14ac:dyDescent="0.2">
      <c r="L26" s="13">
        <v>27.99</v>
      </c>
      <c r="M26" s="14">
        <v>59.9</v>
      </c>
      <c r="N26" s="6">
        <f t="shared" si="0"/>
        <v>57.860773214320695</v>
      </c>
      <c r="O26" s="19">
        <f t="shared" si="1"/>
        <v>-3.4043852849404074E-2</v>
      </c>
      <c r="P26" s="7">
        <f t="shared" si="2"/>
        <v>1.6766009999999998</v>
      </c>
      <c r="Q26" s="22">
        <f t="shared" si="3"/>
        <v>59.734256388416526</v>
      </c>
      <c r="R26" s="19">
        <f t="shared" si="4"/>
        <v>-2.7746827633668039E-3</v>
      </c>
      <c r="S26" s="7">
        <f t="shared" si="5"/>
        <v>1.6719618363117783</v>
      </c>
      <c r="U26" s="22">
        <f t="shared" si="6"/>
        <v>60.49218860843353</v>
      </c>
      <c r="V26" s="7">
        <f t="shared" si="7"/>
        <v>1.6931763591500544</v>
      </c>
    </row>
    <row r="27" spans="12:22" x14ac:dyDescent="0.2">
      <c r="L27" s="13">
        <v>29.01</v>
      </c>
      <c r="M27" s="14">
        <v>57.9</v>
      </c>
      <c r="N27" s="6">
        <f t="shared" si="0"/>
        <v>55.520888673053541</v>
      </c>
      <c r="O27" s="19">
        <f t="shared" si="1"/>
        <v>-4.1090005646743651E-2</v>
      </c>
      <c r="P27" s="7">
        <f t="shared" si="2"/>
        <v>1.6796790000000001</v>
      </c>
      <c r="Q27" s="22">
        <f t="shared" si="3"/>
        <v>57.603624598646434</v>
      </c>
      <c r="R27" s="19">
        <f t="shared" si="4"/>
        <v>-5.1450825085845222E-3</v>
      </c>
      <c r="S27" s="7">
        <f t="shared" si="5"/>
        <v>1.671081149606733</v>
      </c>
      <c r="U27" s="22">
        <f t="shared" si="6"/>
        <v>58.274646198338679</v>
      </c>
      <c r="V27" s="7">
        <f t="shared" si="7"/>
        <v>1.690547486213805</v>
      </c>
    </row>
    <row r="28" spans="12:22" x14ac:dyDescent="0.2">
      <c r="L28" s="13">
        <v>29.98</v>
      </c>
      <c r="M28" s="14">
        <v>56</v>
      </c>
      <c r="N28" s="6">
        <f t="shared" si="0"/>
        <v>53.450860882307538</v>
      </c>
      <c r="O28" s="19">
        <f t="shared" si="1"/>
        <v>-4.5520341387365396E-2</v>
      </c>
      <c r="P28" s="7">
        <f t="shared" si="2"/>
        <v>1.6788800000000001</v>
      </c>
      <c r="Q28" s="22">
        <f t="shared" si="3"/>
        <v>55.712885571969302</v>
      </c>
      <c r="R28" s="19">
        <f t="shared" si="4"/>
        <v>-5.1534653982301193E-3</v>
      </c>
      <c r="S28" s="7">
        <f t="shared" si="5"/>
        <v>1.6702723094476395</v>
      </c>
      <c r="U28" s="22">
        <f t="shared" si="6"/>
        <v>56.308720977223253</v>
      </c>
      <c r="V28" s="7">
        <f t="shared" si="7"/>
        <v>1.688135454897153</v>
      </c>
    </row>
    <row r="29" spans="12:22" x14ac:dyDescent="0.2">
      <c r="L29" s="13">
        <v>30.99</v>
      </c>
      <c r="M29" s="14">
        <v>54.1</v>
      </c>
      <c r="N29" s="6">
        <f>100/SINH(L29/16)+22</f>
        <v>51.442570771925986</v>
      </c>
      <c r="O29" s="19">
        <f>(N29-M29)/M29</f>
        <v>-4.9120688134454991E-2</v>
      </c>
      <c r="P29" s="7">
        <f>L29*M29/1000</f>
        <v>1.6765589999999999</v>
      </c>
      <c r="Q29" s="22">
        <f t="shared" si="3"/>
        <v>53.870857053236463</v>
      </c>
      <c r="R29" s="19">
        <f>(Q29-M29)/Q29</f>
        <v>-4.253560446181387E-3</v>
      </c>
      <c r="S29" s="7">
        <f t="shared" si="5"/>
        <v>1.669457860079798</v>
      </c>
      <c r="U29" s="22">
        <f t="shared" si="6"/>
        <v>54.395256397566023</v>
      </c>
      <c r="V29" s="7">
        <f t="shared" si="7"/>
        <v>1.6857089957605711</v>
      </c>
    </row>
    <row r="30" spans="12:22" x14ac:dyDescent="0.2">
      <c r="L30" s="15">
        <v>31.74</v>
      </c>
      <c r="M30" s="16">
        <v>53</v>
      </c>
      <c r="N30" s="6">
        <f t="shared" si="0"/>
        <v>50.041044971082933</v>
      </c>
      <c r="O30" s="19">
        <f t="shared" si="1"/>
        <v>-5.5829340168246554E-2</v>
      </c>
      <c r="P30" s="7">
        <f t="shared" si="2"/>
        <v>1.68222</v>
      </c>
      <c r="Q30" s="22">
        <f t="shared" si="3"/>
        <v>52.579404910995734</v>
      </c>
      <c r="R30" s="19">
        <f t="shared" si="4"/>
        <v>-7.9992363876356526E-3</v>
      </c>
      <c r="S30" s="7">
        <f t="shared" si="5"/>
        <v>1.6688703118750046</v>
      </c>
      <c r="U30" s="22">
        <f t="shared" si="6"/>
        <v>53.054819374904476</v>
      </c>
      <c r="V30" s="7">
        <f t="shared" si="7"/>
        <v>1.6839599669594678</v>
      </c>
    </row>
    <row r="34" spans="1:17" x14ac:dyDescent="0.2">
      <c r="L34" s="11" t="s">
        <v>9</v>
      </c>
    </row>
    <row r="35" spans="1:17" x14ac:dyDescent="0.2">
      <c r="L35" s="7" t="s">
        <v>62</v>
      </c>
    </row>
    <row r="36" spans="1:17" x14ac:dyDescent="0.2">
      <c r="L36" s="7" t="s">
        <v>61</v>
      </c>
    </row>
    <row r="37" spans="1:17" x14ac:dyDescent="0.2">
      <c r="L37" s="6" t="s">
        <v>125</v>
      </c>
    </row>
    <row r="40" spans="1:17" x14ac:dyDescent="0.2">
      <c r="B40" s="17" t="s">
        <v>38</v>
      </c>
      <c r="C40" s="18" t="s">
        <v>63</v>
      </c>
    </row>
    <row r="41" spans="1:17" x14ac:dyDescent="0.2">
      <c r="A41" s="95" t="s">
        <v>145</v>
      </c>
      <c r="B41" s="116">
        <v>22.5</v>
      </c>
      <c r="C41" s="22">
        <f xml:space="preserve"> 1756.007* B41^-1.01472</f>
        <v>74.548618209694197</v>
      </c>
      <c r="E41" s="22"/>
      <c r="F41" s="22"/>
      <c r="G41" s="22"/>
      <c r="L41" s="212" t="s">
        <v>110</v>
      </c>
      <c r="M41" s="212"/>
      <c r="N41" s="212"/>
      <c r="O41" s="212"/>
      <c r="P41" s="212"/>
      <c r="Q41" s="212"/>
    </row>
    <row r="42" spans="1:17" x14ac:dyDescent="0.2">
      <c r="L42" s="17" t="s">
        <v>38</v>
      </c>
      <c r="M42" s="18" t="s">
        <v>37</v>
      </c>
      <c r="N42" s="6" t="s">
        <v>41</v>
      </c>
      <c r="P42" s="18" t="s">
        <v>40</v>
      </c>
    </row>
    <row r="43" spans="1:17" x14ac:dyDescent="0.2">
      <c r="L43" s="22">
        <v>15</v>
      </c>
      <c r="M43" s="6">
        <v>280</v>
      </c>
      <c r="P43" s="7">
        <f>L43*M43/1000</f>
        <v>4.2</v>
      </c>
      <c r="Q43" s="6" t="s">
        <v>108</v>
      </c>
    </row>
    <row r="44" spans="1:17" x14ac:dyDescent="0.2">
      <c r="L44" s="22">
        <v>15</v>
      </c>
      <c r="M44" s="6">
        <v>30</v>
      </c>
      <c r="P44" s="7">
        <f>L44*M44/1000</f>
        <v>0.45</v>
      </c>
      <c r="Q44" s="6" t="s">
        <v>109</v>
      </c>
    </row>
    <row r="45" spans="1:17" x14ac:dyDescent="0.2">
      <c r="L45" s="6" t="s">
        <v>111</v>
      </c>
      <c r="M45" s="92">
        <f>(M43-M44)/M43</f>
        <v>0.8928571428571429</v>
      </c>
    </row>
  </sheetData>
  <sheetProtection sheet="1" objects="1" scenarios="1" selectLockedCells="1" selectUnlockedCells="1"/>
  <mergeCells count="1">
    <mergeCell ref="L41:Q41"/>
  </mergeCells>
  <phoneticPr fontId="0" type="noConversion"/>
  <pageMargins left="0.5" right="0.5" top="0.5" bottom="0.5" header="0.5" footer="0.5"/>
  <pageSetup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R42"/>
  <sheetViews>
    <sheetView workbookViewId="0">
      <selection activeCell="A145" sqref="A145:E145"/>
    </sheetView>
  </sheetViews>
  <sheetFormatPr defaultRowHeight="12.75" x14ac:dyDescent="0.2"/>
  <cols>
    <col min="1" max="1" width="9.140625" style="6"/>
    <col min="2" max="3" width="13.7109375" style="6" customWidth="1"/>
    <col min="4" max="10" width="9.140625" style="6"/>
    <col min="11" max="11" width="5.140625" style="6" customWidth="1"/>
    <col min="12" max="12" width="11.7109375" style="6" customWidth="1"/>
    <col min="13" max="13" width="12.5703125" style="6" customWidth="1"/>
    <col min="14" max="15" width="0" style="6" hidden="1" customWidth="1"/>
    <col min="16" max="16" width="11.7109375" style="6" customWidth="1"/>
    <col min="17" max="17" width="13.85546875" style="6" customWidth="1"/>
    <col min="18" max="18" width="0" style="6" hidden="1" customWidth="1"/>
    <col min="19" max="16384" width="9.140625" style="6"/>
  </cols>
  <sheetData>
    <row r="2" spans="12:18" x14ac:dyDescent="0.2">
      <c r="L2" s="17" t="s">
        <v>38</v>
      </c>
      <c r="M2" s="18" t="s">
        <v>37</v>
      </c>
      <c r="N2" s="6" t="s">
        <v>41</v>
      </c>
      <c r="P2" s="18" t="s">
        <v>40</v>
      </c>
      <c r="Q2" s="6" t="s">
        <v>63</v>
      </c>
      <c r="R2" s="6" t="s">
        <v>42</v>
      </c>
    </row>
    <row r="3" spans="12:18" x14ac:dyDescent="0.2">
      <c r="L3" s="13">
        <v>3.64</v>
      </c>
      <c r="M3" s="14">
        <v>523</v>
      </c>
      <c r="N3" s="6">
        <f>100/SINH(L3/16)+22</f>
        <v>457.79154356044359</v>
      </c>
      <c r="O3" s="19">
        <f>(N3-M3)/M3</f>
        <v>-0.12468156106989754</v>
      </c>
      <c r="P3" s="7">
        <f>L3*M3/1000</f>
        <v>1.9037200000000001</v>
      </c>
      <c r="Q3" s="22">
        <f xml:space="preserve"> -0.00529289431*L3^5 + 0.312305242*L3^4 - 7.38502812*L3^3 + 88.7945431*L3^2 - 561.872531*L3 + 1699.84701</f>
        <v>526.39759379551288</v>
      </c>
      <c r="R3" s="19">
        <f t="shared" ref="R3:R26" si="0">(Q3-M3)/Q3</f>
        <v>6.4544250117387928E-3</v>
      </c>
    </row>
    <row r="4" spans="12:18" x14ac:dyDescent="0.2">
      <c r="L4" s="13">
        <v>4</v>
      </c>
      <c r="M4" s="14">
        <v>480</v>
      </c>
      <c r="N4" s="6">
        <f t="shared" ref="N4:N26" si="1">100/SINH(L4/16)+22</f>
        <v>417.86351633020001</v>
      </c>
      <c r="O4" s="19">
        <f t="shared" ref="O4:O26" si="2">(N4-M4)/M4</f>
        <v>-0.12945100764541664</v>
      </c>
      <c r="P4" s="7">
        <f t="shared" ref="P4:P26" si="3">L4*M4/1000</f>
        <v>1.92</v>
      </c>
      <c r="Q4" s="22">
        <f t="shared" ref="Q4:Q26" si="4" xml:space="preserve"> -0.00529289431*L4^5 + 0.312305242*L4^4 - 7.38502812*L4^3 + 88.7945431*L4^2 - 561.872531*L4 + 1699.84701</f>
        <v>474.95799409855999</v>
      </c>
      <c r="R4" s="19">
        <f t="shared" si="0"/>
        <v>-1.0615688048391338E-2</v>
      </c>
    </row>
    <row r="5" spans="12:18" x14ac:dyDescent="0.2">
      <c r="L5" s="13">
        <v>4.5</v>
      </c>
      <c r="M5" s="14">
        <v>415</v>
      </c>
      <c r="N5" s="6">
        <f t="shared" si="1"/>
        <v>372.91095631730508</v>
      </c>
      <c r="O5" s="19">
        <f t="shared" si="2"/>
        <v>-0.10141938236793957</v>
      </c>
      <c r="P5" s="7">
        <f t="shared" si="3"/>
        <v>1.8674999999999999</v>
      </c>
      <c r="Q5" s="22">
        <f t="shared" si="4"/>
        <v>414.84722050915025</v>
      </c>
      <c r="R5" s="19">
        <f t="shared" si="0"/>
        <v>-3.682789308850697E-4</v>
      </c>
    </row>
    <row r="6" spans="12:18" x14ac:dyDescent="0.2">
      <c r="L6" s="13">
        <v>5</v>
      </c>
      <c r="M6" s="14">
        <v>365</v>
      </c>
      <c r="N6" s="6">
        <f t="shared" si="1"/>
        <v>336.85040142683198</v>
      </c>
      <c r="O6" s="19">
        <f t="shared" si="2"/>
        <v>-7.7122187871693212E-2</v>
      </c>
      <c r="P6" s="7">
        <f t="shared" si="3"/>
        <v>1.825</v>
      </c>
      <c r="Q6" s="22">
        <f t="shared" si="4"/>
        <v>365.86989903124982</v>
      </c>
      <c r="R6" s="19">
        <f t="shared" si="0"/>
        <v>2.377618474635748E-3</v>
      </c>
    </row>
    <row r="7" spans="12:18" x14ac:dyDescent="0.2">
      <c r="L7" s="13">
        <v>5.5</v>
      </c>
      <c r="M7" s="14">
        <v>326</v>
      </c>
      <c r="N7" s="6">
        <f t="shared" si="1"/>
        <v>307.25793313395593</v>
      </c>
      <c r="O7" s="19">
        <f t="shared" si="2"/>
        <v>-5.7491002656576903E-2</v>
      </c>
      <c r="P7" s="7">
        <f t="shared" si="3"/>
        <v>1.7929999999999999</v>
      </c>
      <c r="Q7" s="22">
        <f t="shared" si="4"/>
        <v>326.03947027013101</v>
      </c>
      <c r="R7" s="19">
        <f t="shared" si="0"/>
        <v>1.2105979100721528E-4</v>
      </c>
    </row>
    <row r="8" spans="12:18" x14ac:dyDescent="0.2">
      <c r="L8" s="13">
        <v>6</v>
      </c>
      <c r="M8" s="14">
        <v>292</v>
      </c>
      <c r="N8" s="6">
        <f t="shared" si="1"/>
        <v>282.51770688965473</v>
      </c>
      <c r="O8" s="19">
        <f t="shared" si="2"/>
        <v>-3.2473606542278315E-2</v>
      </c>
      <c r="P8" s="7">
        <f t="shared" si="3"/>
        <v>1.752</v>
      </c>
      <c r="Q8" s="22">
        <f t="shared" si="4"/>
        <v>293.63934915743994</v>
      </c>
      <c r="R8" s="19">
        <f t="shared" si="0"/>
        <v>5.5828660639108407E-3</v>
      </c>
    </row>
    <row r="9" spans="12:18" x14ac:dyDescent="0.2">
      <c r="L9" s="13">
        <v>6.5</v>
      </c>
      <c r="M9" s="14">
        <v>266</v>
      </c>
      <c r="N9" s="6">
        <f t="shared" si="1"/>
        <v>261.51115123617126</v>
      </c>
      <c r="O9" s="19">
        <f t="shared" si="2"/>
        <v>-1.6875371292589255E-2</v>
      </c>
      <c r="P9" s="7">
        <f t="shared" si="3"/>
        <v>1.7290000000000001</v>
      </c>
      <c r="Q9" s="22">
        <f t="shared" si="4"/>
        <v>267.20307659753598</v>
      </c>
      <c r="R9" s="19">
        <f t="shared" si="0"/>
        <v>4.5024803338925209E-3</v>
      </c>
    </row>
    <row r="10" spans="12:18" x14ac:dyDescent="0.2">
      <c r="L10" s="13">
        <v>7</v>
      </c>
      <c r="M10" s="14">
        <v>246</v>
      </c>
      <c r="N10" s="6">
        <f t="shared" si="1"/>
        <v>243.43936708493501</v>
      </c>
      <c r="O10" s="19">
        <f t="shared" si="2"/>
        <v>-1.0409076890508072E-2</v>
      </c>
      <c r="P10" s="7">
        <f t="shared" si="3"/>
        <v>1.722</v>
      </c>
      <c r="Q10" s="22">
        <f t="shared" si="4"/>
        <v>245.49447111383006</v>
      </c>
      <c r="R10" s="19">
        <f t="shared" si="0"/>
        <v>-2.0592271747559604E-3</v>
      </c>
    </row>
    <row r="11" spans="12:18" x14ac:dyDescent="0.2">
      <c r="L11" s="13">
        <v>7.5</v>
      </c>
      <c r="M11" s="14">
        <v>228</v>
      </c>
      <c r="N11" s="6">
        <f t="shared" si="1"/>
        <v>227.71656709657051</v>
      </c>
      <c r="O11" s="19">
        <f t="shared" si="2"/>
        <v>-1.2431267694275672E-3</v>
      </c>
      <c r="P11" s="7">
        <f t="shared" si="3"/>
        <v>1.71</v>
      </c>
      <c r="Q11" s="22">
        <f t="shared" si="4"/>
        <v>227.48778049511702</v>
      </c>
      <c r="R11" s="19">
        <f t="shared" si="0"/>
        <v>-2.2516352472566003E-3</v>
      </c>
    </row>
    <row r="12" spans="12:18" x14ac:dyDescent="0.2">
      <c r="L12" s="13">
        <v>8</v>
      </c>
      <c r="M12" s="14">
        <v>213</v>
      </c>
      <c r="N12" s="6">
        <f t="shared" si="1"/>
        <v>213.90347513349437</v>
      </c>
      <c r="O12" s="19">
        <f t="shared" si="2"/>
        <v>4.2416672934007882E-3</v>
      </c>
      <c r="P12" s="7">
        <f t="shared" si="3"/>
        <v>1.704</v>
      </c>
      <c r="Q12" s="22">
        <f t="shared" si="4"/>
        <v>212.3478334419201</v>
      </c>
      <c r="R12" s="19">
        <f t="shared" si="0"/>
        <v>-3.0712183284802579E-3</v>
      </c>
    </row>
    <row r="13" spans="12:18" x14ac:dyDescent="0.2">
      <c r="L13" s="13">
        <v>8.5</v>
      </c>
      <c r="M13" s="14">
        <v>200</v>
      </c>
      <c r="N13" s="6">
        <f t="shared" si="1"/>
        <v>201.66423165237876</v>
      </c>
      <c r="O13" s="19">
        <f t="shared" si="2"/>
        <v>8.3211582618938004E-3</v>
      </c>
      <c r="P13" s="7">
        <f t="shared" si="3"/>
        <v>1.7</v>
      </c>
      <c r="Q13" s="22">
        <f t="shared" si="4"/>
        <v>199.41019121282216</v>
      </c>
      <c r="R13" s="19">
        <f t="shared" si="0"/>
        <v>-2.9577665193067596E-3</v>
      </c>
    </row>
    <row r="14" spans="12:18" x14ac:dyDescent="0.2">
      <c r="L14" s="13">
        <v>9</v>
      </c>
      <c r="M14" s="14">
        <v>189</v>
      </c>
      <c r="N14" s="6">
        <f t="shared" si="1"/>
        <v>190.73766385202995</v>
      </c>
      <c r="O14" s="19">
        <f t="shared" si="2"/>
        <v>9.1939886350791197E-3</v>
      </c>
      <c r="P14" s="7">
        <f t="shared" si="3"/>
        <v>1.7010000000000001</v>
      </c>
      <c r="Q14" s="22">
        <f t="shared" si="4"/>
        <v>188.1612992708092</v>
      </c>
      <c r="R14" s="19">
        <f t="shared" si="0"/>
        <v>-4.4573497974400864E-3</v>
      </c>
    </row>
    <row r="15" spans="12:18" x14ac:dyDescent="0.2">
      <c r="L15" s="13">
        <v>9.5</v>
      </c>
      <c r="M15" s="14">
        <v>179</v>
      </c>
      <c r="N15" s="6">
        <f t="shared" si="1"/>
        <v>180.91762831227749</v>
      </c>
      <c r="O15" s="19">
        <f t="shared" si="2"/>
        <v>1.071300733115914E-2</v>
      </c>
      <c r="P15" s="7">
        <f t="shared" si="3"/>
        <v>1.7004999999999999</v>
      </c>
      <c r="Q15" s="22">
        <f t="shared" si="4"/>
        <v>178.21863892960346</v>
      </c>
      <c r="R15" s="19">
        <f t="shared" si="0"/>
        <v>-4.384283681490693E-3</v>
      </c>
    </row>
    <row r="16" spans="12:18" x14ac:dyDescent="0.2">
      <c r="L16" s="13">
        <v>10</v>
      </c>
      <c r="M16" s="14">
        <v>168</v>
      </c>
      <c r="N16" s="6">
        <f t="shared" si="1"/>
        <v>172.03925076539173</v>
      </c>
      <c r="O16" s="19">
        <f t="shared" si="2"/>
        <v>2.4043159317807903E-2</v>
      </c>
      <c r="P16" s="7">
        <f t="shared" si="3"/>
        <v>1.68</v>
      </c>
      <c r="Q16" s="22">
        <f t="shared" si="4"/>
        <v>169.3108789999992</v>
      </c>
      <c r="R16" s="19">
        <f t="shared" si="0"/>
        <v>7.7424380981402276E-3</v>
      </c>
    </row>
    <row r="17" spans="12:18" x14ac:dyDescent="0.2">
      <c r="L17" s="13">
        <v>10.5</v>
      </c>
      <c r="M17" s="14">
        <v>161</v>
      </c>
      <c r="N17" s="6">
        <f t="shared" si="1"/>
        <v>163.9690973019855</v>
      </c>
      <c r="O17" s="19">
        <f t="shared" si="2"/>
        <v>1.8441598148978257E-2</v>
      </c>
      <c r="P17" s="7">
        <f t="shared" si="3"/>
        <v>1.6904999999999999</v>
      </c>
      <c r="Q17" s="22">
        <f t="shared" si="4"/>
        <v>161.25802743620761</v>
      </c>
      <c r="R17" s="19">
        <f t="shared" si="0"/>
        <v>1.6000904904389091E-3</v>
      </c>
    </row>
    <row r="18" spans="12:18" x14ac:dyDescent="0.2">
      <c r="L18" s="13">
        <v>11</v>
      </c>
      <c r="M18" s="14">
        <v>153</v>
      </c>
      <c r="N18" s="6">
        <f t="shared" si="1"/>
        <v>156.59802611261966</v>
      </c>
      <c r="O18" s="19">
        <f t="shared" si="2"/>
        <v>2.3516510539997801E-2</v>
      </c>
      <c r="P18" s="7">
        <f t="shared" si="3"/>
        <v>1.6830000000000001</v>
      </c>
      <c r="Q18" s="22">
        <f t="shared" si="4"/>
        <v>153.95158298218985</v>
      </c>
      <c r="R18" s="19">
        <f t="shared" si="0"/>
        <v>6.1810535738364789E-3</v>
      </c>
    </row>
    <row r="19" spans="12:18" x14ac:dyDescent="0.2">
      <c r="L19" s="13">
        <v>11.5</v>
      </c>
      <c r="M19" s="14">
        <v>147.5</v>
      </c>
      <c r="N19" s="6">
        <f t="shared" si="1"/>
        <v>149.83590396145755</v>
      </c>
      <c r="O19" s="19">
        <f t="shared" si="2"/>
        <v>1.5836637026830823E-2</v>
      </c>
      <c r="P19" s="7">
        <f t="shared" si="3"/>
        <v>1.69625</v>
      </c>
      <c r="Q19" s="22">
        <f t="shared" si="4"/>
        <v>147.33468681798922</v>
      </c>
      <c r="R19" s="19">
        <f t="shared" si="0"/>
        <v>-1.1220248644842066E-3</v>
      </c>
    </row>
    <row r="20" spans="12:18" x14ac:dyDescent="0.2">
      <c r="L20" s="13">
        <v>12</v>
      </c>
      <c r="M20" s="14">
        <v>141</v>
      </c>
      <c r="N20" s="6">
        <f t="shared" si="1"/>
        <v>143.60764352269507</v>
      </c>
      <c r="O20" s="19">
        <f t="shared" si="2"/>
        <v>1.849392569287284E-2</v>
      </c>
      <c r="P20" s="7">
        <f t="shared" si="3"/>
        <v>1.6919999999999999</v>
      </c>
      <c r="Q20" s="22">
        <f t="shared" si="4"/>
        <v>141.38227420607882</v>
      </c>
      <c r="R20" s="19">
        <f t="shared" si="0"/>
        <v>2.703834043025901E-3</v>
      </c>
    </row>
    <row r="21" spans="12:18" x14ac:dyDescent="0.2">
      <c r="L21" s="13">
        <v>12.5</v>
      </c>
      <c r="M21" s="14">
        <v>136.5</v>
      </c>
      <c r="N21" s="6">
        <f t="shared" si="1"/>
        <v>137.85019174843245</v>
      </c>
      <c r="O21" s="19">
        <f t="shared" si="2"/>
        <v>9.8915146405307748E-3</v>
      </c>
      <c r="P21" s="7">
        <f t="shared" si="3"/>
        <v>1.70625</v>
      </c>
      <c r="Q21" s="22">
        <f t="shared" si="4"/>
        <v>136.08122613769456</v>
      </c>
      <c r="R21" s="19">
        <f t="shared" si="0"/>
        <v>-3.0773816064951103E-3</v>
      </c>
    </row>
    <row r="22" spans="12:18" x14ac:dyDescent="0.2">
      <c r="L22" s="13">
        <v>13</v>
      </c>
      <c r="M22" s="14">
        <v>132</v>
      </c>
      <c r="N22" s="6">
        <f t="shared" si="1"/>
        <v>132.5102132306325</v>
      </c>
      <c r="O22" s="19">
        <f t="shared" si="2"/>
        <v>3.8652517472159225E-3</v>
      </c>
      <c r="P22" s="7">
        <f t="shared" si="3"/>
        <v>1.716</v>
      </c>
      <c r="Q22" s="22">
        <f t="shared" si="4"/>
        <v>131.41052097916827</v>
      </c>
      <c r="R22" s="19">
        <f t="shared" si="0"/>
        <v>-4.485782541910616E-3</v>
      </c>
    </row>
    <row r="23" spans="12:18" x14ac:dyDescent="0.2">
      <c r="L23" s="13">
        <v>13.5</v>
      </c>
      <c r="M23" s="14">
        <v>127</v>
      </c>
      <c r="N23" s="6">
        <f t="shared" si="1"/>
        <v>127.54228838241131</v>
      </c>
      <c r="O23" s="19">
        <f t="shared" si="2"/>
        <v>4.2699872630812151E-3</v>
      </c>
      <c r="P23" s="7">
        <f t="shared" si="3"/>
        <v>1.7144999999999999</v>
      </c>
      <c r="Q23" s="22">
        <f t="shared" si="4"/>
        <v>127.32138611827259</v>
      </c>
      <c r="R23" s="19">
        <f t="shared" si="0"/>
        <v>2.5242115882561944E-3</v>
      </c>
    </row>
    <row r="24" spans="12:18" x14ac:dyDescent="0.2">
      <c r="L24" s="13">
        <v>14</v>
      </c>
      <c r="M24" s="14">
        <v>124</v>
      </c>
      <c r="N24" s="6">
        <f t="shared" si="1"/>
        <v>122.90749774205557</v>
      </c>
      <c r="O24" s="19">
        <f t="shared" si="2"/>
        <v>-8.8105020801970291E-3</v>
      </c>
      <c r="P24" s="7">
        <f t="shared" si="3"/>
        <v>1.736</v>
      </c>
      <c r="Q24" s="22">
        <f t="shared" si="4"/>
        <v>123.71744961055856</v>
      </c>
      <c r="R24" s="19">
        <f t="shared" si="0"/>
        <v>-2.2838361955476779E-3</v>
      </c>
    </row>
    <row r="25" spans="12:18" x14ac:dyDescent="0.2">
      <c r="L25" s="13">
        <v>14.5</v>
      </c>
      <c r="M25" s="14">
        <v>120.5</v>
      </c>
      <c r="N25" s="6">
        <f t="shared" si="1"/>
        <v>118.57229920529358</v>
      </c>
      <c r="O25" s="19">
        <f t="shared" si="2"/>
        <v>-1.599751696851805E-2</v>
      </c>
      <c r="P25" s="7">
        <f t="shared" si="3"/>
        <v>1.74725</v>
      </c>
      <c r="Q25" s="22">
        <f t="shared" si="4"/>
        <v>120.43489182568419</v>
      </c>
      <c r="R25" s="19">
        <f t="shared" si="0"/>
        <v>-5.4060889937151144E-4</v>
      </c>
    </row>
    <row r="26" spans="12:18" x14ac:dyDescent="0.2">
      <c r="L26" s="15">
        <v>15</v>
      </c>
      <c r="M26" s="16">
        <v>117</v>
      </c>
      <c r="N26" s="6">
        <f t="shared" si="1"/>
        <v>114.50762984280628</v>
      </c>
      <c r="O26" s="19">
        <f t="shared" si="2"/>
        <v>-2.130230903584375E-2</v>
      </c>
      <c r="P26" s="7">
        <f t="shared" si="3"/>
        <v>1.7549999999999999</v>
      </c>
      <c r="Q26" s="22">
        <f t="shared" si="4"/>
        <v>117.22259709374748</v>
      </c>
      <c r="R26" s="19">
        <f t="shared" si="0"/>
        <v>1.8989264806124513E-3</v>
      </c>
    </row>
    <row r="31" spans="12:18" x14ac:dyDescent="0.2">
      <c r="M31" s="11" t="s">
        <v>9</v>
      </c>
    </row>
    <row r="32" spans="12:18" x14ac:dyDescent="0.2">
      <c r="M32" s="7" t="s">
        <v>62</v>
      </c>
    </row>
    <row r="33" spans="1:13" x14ac:dyDescent="0.2">
      <c r="M33" s="7" t="s">
        <v>61</v>
      </c>
    </row>
    <row r="41" spans="1:13" x14ac:dyDescent="0.2">
      <c r="B41" s="17" t="s">
        <v>38</v>
      </c>
      <c r="C41" s="18" t="s">
        <v>63</v>
      </c>
    </row>
    <row r="42" spans="1:13" x14ac:dyDescent="0.2">
      <c r="A42" s="95" t="s">
        <v>145</v>
      </c>
      <c r="B42" s="116">
        <v>12.5</v>
      </c>
      <c r="C42" s="22">
        <f xml:space="preserve"> -0.00529289431*B42^5 + 0.312305242*B42^4 - 7.38502812*B42^3 + 88.7945431*B42^2 - 561.872531*B42 + 1699.84701</f>
        <v>136.08122613769456</v>
      </c>
      <c r="F42" s="22"/>
      <c r="G42" s="22"/>
    </row>
  </sheetData>
  <sheetProtection sheet="1" objects="1" scenarios="1" selectLockedCells="1" selectUnlockedCells="1"/>
  <phoneticPr fontId="0" type="noConversion"/>
  <pageMargins left="0.5" right="0.5" top="0.5" bottom="0.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48</vt:i4>
      </vt:variant>
    </vt:vector>
  </HeadingPairs>
  <TitlesOfParts>
    <vt:vector size="56" baseType="lpstr">
      <vt:lpstr>Instructions</vt:lpstr>
      <vt:lpstr>Main</vt:lpstr>
      <vt:lpstr>ARC-2e V-I Curve</vt:lpstr>
      <vt:lpstr>Mod. ARC V-I Curve</vt:lpstr>
      <vt:lpstr>ARC-3 V-I Curve</vt:lpstr>
      <vt:lpstr>Exp. Panel ARC V-I Curve</vt:lpstr>
      <vt:lpstr>ARC-2 V-I Curve</vt:lpstr>
      <vt:lpstr>ARC V-I Curve</vt:lpstr>
      <vt:lpstr>_1_ARC</vt:lpstr>
      <vt:lpstr>_2_ARC</vt:lpstr>
      <vt:lpstr>_3_ARC</vt:lpstr>
      <vt:lpstr>_5_8_ARC</vt:lpstr>
      <vt:lpstr>_dev_ARC</vt:lpstr>
      <vt:lpstr>_dev_ARC_2</vt:lpstr>
      <vt:lpstr>_dev_ARC_2e</vt:lpstr>
      <vt:lpstr>_dev_ARC_3</vt:lpstr>
      <vt:lpstr>_dev_K1</vt:lpstr>
      <vt:lpstr>_dev_Mic</vt:lpstr>
      <vt:lpstr>_dev_None</vt:lpstr>
      <vt:lpstr>_dev_SW4</vt:lpstr>
      <vt:lpstr>_dev_SWK</vt:lpstr>
      <vt:lpstr>_dev_XLR</vt:lpstr>
      <vt:lpstr>_Exp0</vt:lpstr>
      <vt:lpstr>_Exp0_3</vt:lpstr>
      <vt:lpstr>_Exp0_4</vt:lpstr>
      <vt:lpstr>_pwr_2x_2m</vt:lpstr>
      <vt:lpstr>_pwr_ARC_PS</vt:lpstr>
      <vt:lpstr>_pwr_ARC_PSe</vt:lpstr>
      <vt:lpstr>_pwr_CIO</vt:lpstr>
      <vt:lpstr>_pwr_Custom</vt:lpstr>
      <vt:lpstr>_pwr_Edge</vt:lpstr>
      <vt:lpstr>_pwr_Express</vt:lpstr>
      <vt:lpstr>_pwr_IS</vt:lpstr>
      <vt:lpstr>_pwr_Jupiter</vt:lpstr>
      <vt:lpstr>_pwr_Prism0_4</vt:lpstr>
      <vt:lpstr>_pwr_Prism8_12</vt:lpstr>
      <vt:lpstr>_pwr_PS_6</vt:lpstr>
      <vt:lpstr>_pwr_Select</vt:lpstr>
      <vt:lpstr>_pwr_Solus_NX</vt:lpstr>
      <vt:lpstr>_pwr_table</vt:lpstr>
      <vt:lpstr>ARC_2e_min_v</vt:lpstr>
      <vt:lpstr>ARC_3_min_v</vt:lpstr>
      <vt:lpstr>ARC_audio</vt:lpstr>
      <vt:lpstr>ARC_min_V</vt:lpstr>
      <vt:lpstr>cable_comp</vt:lpstr>
      <vt:lpstr>Defaults</vt:lpstr>
      <vt:lpstr>Feet_Meters_Conversion</vt:lpstr>
      <vt:lpstr>max_current</vt:lpstr>
      <vt:lpstr>max_mod_arcs</vt:lpstr>
      <vt:lpstr>new_ARC_min_V</vt:lpstr>
      <vt:lpstr>powering_device</vt:lpstr>
      <vt:lpstr>resist_24</vt:lpstr>
      <vt:lpstr>resist_26</vt:lpstr>
      <vt:lpstr>resist_28</vt:lpstr>
      <vt:lpstr>Solutions</vt:lpstr>
      <vt:lpstr>voltage_in</vt:lpstr>
    </vt:vector>
  </TitlesOfParts>
  <Company>Symetrix</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ARC Power Calculator</dc:title>
  <dc:creator>Jon Harris</dc:creator>
  <dc:description>V2.1 to include modular ARCs and ARC-2</dc:description>
  <cp:lastModifiedBy>Jon Harris</cp:lastModifiedBy>
  <cp:lastPrinted>2005-04-29T18:07:21Z</cp:lastPrinted>
  <dcterms:created xsi:type="dcterms:W3CDTF">2002-01-15T16:08:28Z</dcterms:created>
  <dcterms:modified xsi:type="dcterms:W3CDTF">2018-07-25T00:36:23Z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2.1</vt:lpwstr>
  </property>
</Properties>
</file>